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8" windowWidth="15600" windowHeight="11760" tabRatio="738" activeTab="0"/>
  </bookViews>
  <sheets>
    <sheet name="User Input-Output" sheetId="1" r:id="rId1"/>
    <sheet name="FY14 Cases &amp; Projection" sheetId="2" r:id="rId2"/>
    <sheet name="Ben Calc" sheetId="3" r:id="rId3"/>
  </sheets>
  <definedNames>
    <definedName name="Coefficient_1">#REF!</definedName>
    <definedName name="Coefficient_2">#REF!</definedName>
    <definedName name="Formula_Coefficient">'User Input-Output'!$B$2</definedName>
    <definedName name="Formula_Coefficient_Minus">'User Input-Output'!#REF!</definedName>
    <definedName name="Formula_Coefficient_Plus">'User Input-Output'!#REF!</definedName>
    <definedName name="Formula_Digits">'User Input-Output'!$G$2</definedName>
    <definedName name="High_Low_Ratio">'User Input-Output'!$B$3</definedName>
    <definedName name="Max_Benefit">'User Input-Output'!$B$4</definedName>
    <definedName name="Min_Benefit">'User Input-Output'!$B$5</definedName>
    <definedName name="solver_adj" localSheetId="0" hidden="1">'User Input-Output'!$B$2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'User Input-Output'!$A$13</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54290571</definedName>
    <definedName name="WHEAP_Benefit_Calculator_1" localSheetId="1">'FY14 Cases &amp; Projection'!$H$2:$L$33</definedName>
  </definedNames>
  <calcPr fullCalcOnLoad="1"/>
</workbook>
</file>

<file path=xl/comments1.xml><?xml version="1.0" encoding="utf-8"?>
<comments xmlns="http://schemas.openxmlformats.org/spreadsheetml/2006/main">
  <authors>
    <author>Bobbi Tannenbaum</author>
  </authors>
  <commentList>
    <comment ref="B2" authorId="0">
      <text>
        <r>
          <rPr>
            <sz val="8"/>
            <rFont val="Tahoma"/>
            <family val="2"/>
          </rPr>
          <t>Change this number until cell A13 equals the budget for regular LIHEAP payments. Increasing the number lowers the payment number.</t>
        </r>
        <r>
          <rPr>
            <sz val="8"/>
            <rFont val="Tahoma"/>
            <family val="2"/>
          </rPr>
          <t xml:space="preserve">
</t>
        </r>
      </text>
    </comment>
  </commentList>
</comments>
</file>

<file path=xl/comments2.xml><?xml version="1.0" encoding="utf-8"?>
<comments xmlns="http://schemas.openxmlformats.org/spreadsheetml/2006/main">
  <authors>
    <author>Bobbi Tannenbaum</author>
    <author>Jane Blank</author>
  </authors>
  <commentList>
    <comment ref="B1" authorId="0">
      <text>
        <r>
          <rPr>
            <sz val="8"/>
            <rFont val="Tahoma"/>
            <family val="2"/>
          </rPr>
          <t>Eligible heating fuel costs should be calculated using the following procedures.
1. Baseload is removed. 
2. The remainder is weather normalized. 
(this data should be available 
3. The base load amount is added back in.
4. The proxy values for the upcoming year are applied.
Only households who received a benefit in the previous year should be included in these averages.</t>
        </r>
      </text>
    </comment>
    <comment ref="C1" authorId="0">
      <text>
        <r>
          <rPr>
            <sz val="8"/>
            <rFont val="Tahoma"/>
            <family val="2"/>
          </rPr>
          <t>Select all the LIHEAP applicants that qualified for heating assistance in the current program year, group them into 32 poverty level ranges, count the number of households in each group, and determine the average eligible heating cost for each group.</t>
        </r>
        <r>
          <rPr>
            <sz val="8"/>
            <rFont val="Tahoma"/>
            <family val="2"/>
          </rPr>
          <t xml:space="preserve">
</t>
        </r>
      </text>
    </comment>
    <comment ref="F34" authorId="0">
      <text>
        <r>
          <rPr>
            <sz val="8"/>
            <rFont val="Tahoma"/>
            <family val="2"/>
          </rPr>
          <t xml:space="preserve">This number should equal the anticipated number of LIHEAP recipients for the coming benefit year. It can be adjusted on the "User Input&amp;Output. </t>
        </r>
      </text>
    </comment>
    <comment ref="E1" authorId="0">
      <text>
        <r>
          <rPr>
            <sz val="8"/>
            <rFont val="Tahoma"/>
            <family val="2"/>
          </rPr>
          <t xml:space="preserve">The proportion of households in the different poverty groups can be changed using this column. The column must add up to 100 percent after the adjustments are complete.
</t>
        </r>
      </text>
    </comment>
    <comment ref="E34" authorId="1">
      <text>
        <r>
          <rPr>
            <b/>
            <sz val="8"/>
            <rFont val="Tahoma"/>
            <family val="2"/>
          </rPr>
          <t>Jane Blank:</t>
        </r>
        <r>
          <rPr>
            <sz val="8"/>
            <rFont val="Tahoma"/>
            <family val="2"/>
          </rPr>
          <t xml:space="preserve">
Total may vary slightly from 100% due to rounding</t>
        </r>
      </text>
    </comment>
  </commentList>
</comments>
</file>

<file path=xl/sharedStrings.xml><?xml version="1.0" encoding="utf-8"?>
<sst xmlns="http://schemas.openxmlformats.org/spreadsheetml/2006/main" count="38" uniqueCount="37">
  <si>
    <t>High-Low Ratio</t>
  </si>
  <si>
    <t>Max Benefit</t>
  </si>
  <si>
    <t>Min Benefit</t>
  </si>
  <si>
    <t>Formula Coefficient</t>
  </si>
  <si>
    <t>Benefits = Eligible Heating Cost * [(</t>
  </si>
  <si>
    <t>- Poverty Percentage)/</t>
  </si>
  <si>
    <t>] * 0.01</t>
  </si>
  <si>
    <t>Poverty level</t>
  </si>
  <si>
    <t>Poverty level (1)</t>
  </si>
  <si>
    <t>The parameters above result in the following benefit formula.</t>
  </si>
  <si>
    <t>This formula will result in total payments of:</t>
  </si>
  <si>
    <t>This formula will result in average benefits of:</t>
  </si>
  <si>
    <t>Avg Benefits</t>
  </si>
  <si>
    <t>Total Benefits</t>
  </si>
  <si>
    <t>Anticipated number of recipients</t>
  </si>
  <si>
    <t>Anticipated distribution of recipients</t>
  </si>
  <si>
    <t>&lt;== does not affect result</t>
  </si>
  <si>
    <t>Step 1: Enter anticipated recipients</t>
  </si>
  <si>
    <t>Step 2: Adjust formula until cell A12 equals LIHEAP Budget</t>
  </si>
  <si>
    <t>Adjusted Heating Fuel Cost (2)</t>
  </si>
  <si>
    <t>Percent of Ben. Fuel Cost Paid</t>
  </si>
  <si>
    <t>&lt;=== should equal the LIHEAP benefit budget for year that formula is being calculated.</t>
  </si>
  <si>
    <t>Mean</t>
  </si>
  <si>
    <t>N</t>
  </si>
  <si>
    <t>Total</t>
  </si>
  <si>
    <t>Number of Households in Poverty Level Group (based on FY09 cases) (3)</t>
  </si>
  <si>
    <t>pov_bin</t>
  </si>
  <si>
    <t>Min</t>
  </si>
  <si>
    <t>Max</t>
  </si>
  <si>
    <t>Anticipated distribution of recipients by %</t>
  </si>
  <si>
    <t>&lt;== Target Budget</t>
  </si>
  <si>
    <t>Distribution of households in poverty group</t>
  </si>
  <si>
    <t>Totals</t>
  </si>
  <si>
    <t>% Fuel Bill Paid</t>
  </si>
  <si>
    <t>Percent Poverty Level</t>
  </si>
  <si>
    <t>USER INPUT IN YELLOW CELLS ONLY</t>
  </si>
  <si>
    <t>High/Low Ratio Check</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</si>
</sst>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0000"/>
    <numFmt numFmtId="167" formatCode="0.0000"/>
    <numFmt numFmtId="168" formatCode="_(* #,##0.000_);_(* \(#,##0.000\);_(* &quot;-&quot;??_);_(@_)"/>
    <numFmt numFmtId="169" formatCode="_(* #,##0.0000_);_(* \(#,##0.0000\);_(* &quot;-&quot;??_);_(@_)"/>
    <numFmt numFmtId="170" formatCode="0.0%"/>
    <numFmt numFmtId="171" formatCode="0.000%"/>
    <numFmt numFmtId="172" formatCode="0.0000%"/>
    <numFmt numFmtId="173" formatCode="0.00000%"/>
    <numFmt numFmtId="174" formatCode="0.000000%"/>
    <numFmt numFmtId="175" formatCode="0.0000000%"/>
    <numFmt numFmtId="176" formatCode="0.00000000%"/>
    <numFmt numFmtId="177" formatCode="0.000000000%"/>
    <numFmt numFmtId="178" formatCode="#,##0.0"/>
    <numFmt numFmtId="179" formatCode="#,##0.000"/>
    <numFmt numFmtId="180" formatCode="0.000"/>
    <numFmt numFmtId="181" formatCode="_(* #,##0.0_);_(* \(#,##0.0\);_(* &quot;-&quot;??_);_(@_)"/>
    <numFmt numFmtId="182" formatCode="_(* #,##0_);_(* \(#,##0\);_(* &quot;-&quot;??_);_(@_)"/>
    <numFmt numFmtId="183" formatCode="&quot;$&quot;#,##0.00"/>
    <numFmt numFmtId="184" formatCode="&quot;$&quot;#,##0"/>
    <numFmt numFmtId="185" formatCode="&quot;$&quot;#,##0.000000"/>
    <numFmt numFmtId="186" formatCode="&quot;$&quot;#,##0;\(&quot;$&quot;#,##0\)"/>
    <numFmt numFmtId="187" formatCode="0.0"/>
    <numFmt numFmtId="188" formatCode="&quot;$&quot;#,##0.00;\(&quot;$&quot;#,##0.00\)"/>
    <numFmt numFmtId="189" formatCode="#,##0.00;\(#,##0.00\)"/>
    <numFmt numFmtId="190" formatCode="#,##0.0;\(#,##0.0\)"/>
    <numFmt numFmtId="191" formatCode="#,##0;\(#,##0\)"/>
    <numFmt numFmtId="192" formatCode="&quot;Yes&quot;;&quot;Yes&quot;;&quot;No&quot;"/>
    <numFmt numFmtId="193" formatCode="&quot;True&quot;;&quot;True&quot;;&quot;False&quot;"/>
    <numFmt numFmtId="194" formatCode="&quot;On&quot;;&quot;On&quot;;&quot;Off&quot;"/>
    <numFmt numFmtId="195" formatCode="[$€-2]\ #,##0.00_);[Red]\([$€-2]\ #,##0.00\)"/>
  </numFmts>
  <fonts count="51">
    <font>
      <sz val="10"/>
      <name val="Arial"/>
      <family val="0"/>
    </font>
    <font>
      <i/>
      <sz val="10"/>
      <name val="Arial"/>
      <family val="2"/>
    </font>
    <font>
      <sz val="10"/>
      <color indexed="12"/>
      <name val="Arial"/>
      <family val="2"/>
    </font>
    <font>
      <sz val="10"/>
      <color indexed="61"/>
      <name val="Arial"/>
      <family val="2"/>
    </font>
    <font>
      <b/>
      <sz val="10"/>
      <name val="Arial"/>
      <family val="2"/>
    </font>
    <font>
      <b/>
      <sz val="10"/>
      <color indexed="10"/>
      <name val="Arial"/>
      <family val="2"/>
    </font>
    <font>
      <sz val="8"/>
      <name val="Tahoma"/>
      <family val="2"/>
    </font>
    <font>
      <b/>
      <sz val="8"/>
      <name val="Tahoma"/>
      <family val="2"/>
    </font>
    <font>
      <b/>
      <sz val="12"/>
      <name val="Arial"/>
      <family val="2"/>
    </font>
    <font>
      <u val="single"/>
      <sz val="10"/>
      <color indexed="12"/>
      <name val="Arial"/>
      <family val="2"/>
    </font>
    <font>
      <u val="single"/>
      <sz val="10"/>
      <color indexed="36"/>
      <name val="Arial"/>
      <family val="2"/>
    </font>
    <font>
      <sz val="8"/>
      <name val="Arial"/>
      <family val="2"/>
    </font>
    <font>
      <sz val="7"/>
      <name val="Arial"/>
      <family val="2"/>
    </font>
    <font>
      <sz val="10"/>
      <color indexed="8"/>
      <name val="Arial"/>
      <family val="0"/>
    </font>
    <font>
      <sz val="12"/>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rgb="FFFFFF8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color indexed="63"/>
      </right>
      <top>
        <color indexed="63"/>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style="thin"/>
      <top style="thin"/>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color indexed="22"/>
      </right>
      <top style="thin"/>
      <bottom style="thin"/>
    </border>
    <border>
      <left style="thin">
        <color indexed="22"/>
      </left>
      <right style="thin">
        <color indexed="22"/>
      </right>
      <top style="thin"/>
      <bottom style="thin"/>
    </border>
    <border>
      <left style="thin"/>
      <right>
        <color indexed="63"/>
      </right>
      <top>
        <color indexed="63"/>
      </top>
      <bottom style="thin"/>
    </border>
    <border>
      <left style="thin"/>
      <right>
        <color indexed="63"/>
      </right>
      <top style="thin">
        <color indexed="8"/>
      </top>
      <bottom style="thin"/>
    </border>
    <border>
      <left style="thin">
        <color indexed="22"/>
      </left>
      <right>
        <color indexed="63"/>
      </right>
      <top>
        <color indexed="63"/>
      </top>
      <bottom style="thin"/>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3"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4">
    <xf numFmtId="0" fontId="0" fillId="0" borderId="0" xfId="0" applyAlignment="1">
      <alignment/>
    </xf>
    <xf numFmtId="0" fontId="1" fillId="0" borderId="0" xfId="0" applyFont="1" applyAlignment="1">
      <alignment/>
    </xf>
    <xf numFmtId="165" fontId="0" fillId="0" borderId="0" xfId="44" applyNumberFormat="1" applyFont="1" applyAlignment="1">
      <alignment/>
    </xf>
    <xf numFmtId="0" fontId="0" fillId="0" borderId="0" xfId="0" applyAlignment="1" quotePrefix="1">
      <alignment/>
    </xf>
    <xf numFmtId="0" fontId="2" fillId="0" borderId="0" xfId="0" applyFont="1" applyAlignment="1">
      <alignment/>
    </xf>
    <xf numFmtId="0" fontId="3" fillId="0" borderId="0" xfId="0" applyFont="1" applyAlignment="1">
      <alignment/>
    </xf>
    <xf numFmtId="3" fontId="0" fillId="0" borderId="0" xfId="0" applyNumberFormat="1" applyAlignment="1">
      <alignment/>
    </xf>
    <xf numFmtId="3" fontId="1" fillId="0" borderId="0" xfId="0" applyNumberFormat="1" applyFont="1" applyAlignment="1">
      <alignment/>
    </xf>
    <xf numFmtId="1" fontId="0" fillId="0" borderId="0" xfId="0" applyNumberFormat="1" applyAlignment="1">
      <alignment/>
    </xf>
    <xf numFmtId="0" fontId="4" fillId="0" borderId="0" xfId="0" applyFont="1" applyAlignment="1">
      <alignment/>
    </xf>
    <xf numFmtId="0" fontId="4" fillId="0" borderId="0" xfId="0" applyFont="1" applyAlignment="1">
      <alignment horizontal="center" wrapText="1"/>
    </xf>
    <xf numFmtId="9" fontId="0" fillId="0" borderId="0" xfId="0" applyNumberFormat="1" applyAlignment="1">
      <alignment/>
    </xf>
    <xf numFmtId="2" fontId="0" fillId="0" borderId="0" xfId="0" applyNumberFormat="1" applyAlignment="1">
      <alignment/>
    </xf>
    <xf numFmtId="9" fontId="5" fillId="0" borderId="0" xfId="0" applyNumberFormat="1" applyFont="1" applyAlignment="1">
      <alignment vertical="top" wrapText="1"/>
    </xf>
    <xf numFmtId="0" fontId="5" fillId="0" borderId="10" xfId="0" applyFont="1" applyBorder="1" applyAlignment="1">
      <alignment/>
    </xf>
    <xf numFmtId="0" fontId="0" fillId="0" borderId="11" xfId="0" applyBorder="1" applyAlignment="1">
      <alignment/>
    </xf>
    <xf numFmtId="0" fontId="0" fillId="0" borderId="10" xfId="0" applyBorder="1" applyAlignment="1">
      <alignment/>
    </xf>
    <xf numFmtId="0" fontId="0" fillId="0" borderId="11" xfId="0" applyBorder="1" applyAlignment="1">
      <alignment horizontal="left"/>
    </xf>
    <xf numFmtId="4" fontId="0" fillId="0" borderId="0" xfId="0" applyNumberFormat="1" applyAlignment="1">
      <alignment/>
    </xf>
    <xf numFmtId="184" fontId="0" fillId="0" borderId="0" xfId="0" applyNumberFormat="1" applyAlignment="1">
      <alignment/>
    </xf>
    <xf numFmtId="183" fontId="0" fillId="0" borderId="0" xfId="0" applyNumberFormat="1" applyAlignment="1">
      <alignment/>
    </xf>
    <xf numFmtId="3" fontId="4" fillId="0" borderId="0" xfId="0" applyNumberFormat="1" applyFont="1" applyAlignment="1">
      <alignment/>
    </xf>
    <xf numFmtId="166" fontId="0" fillId="0" borderId="0" xfId="0" applyNumberFormat="1" applyAlignment="1">
      <alignment/>
    </xf>
    <xf numFmtId="6" fontId="0" fillId="0" borderId="0" xfId="0" applyNumberFormat="1" applyAlignment="1">
      <alignment/>
    </xf>
    <xf numFmtId="0" fontId="2" fillId="0" borderId="0" xfId="0" applyFont="1" applyFill="1" applyAlignment="1">
      <alignment vertical="top"/>
    </xf>
    <xf numFmtId="0" fontId="0" fillId="0" borderId="12" xfId="0" applyBorder="1" applyAlignment="1">
      <alignment/>
    </xf>
    <xf numFmtId="0" fontId="0" fillId="0" borderId="13" xfId="0" applyBorder="1" applyAlignment="1">
      <alignment horizontal="right" vertical="center"/>
    </xf>
    <xf numFmtId="44" fontId="0" fillId="0" borderId="14" xfId="44" applyNumberFormat="1" applyFont="1" applyBorder="1" applyAlignment="1">
      <alignment/>
    </xf>
    <xf numFmtId="3" fontId="3" fillId="0" borderId="0" xfId="0" applyNumberFormat="1" applyFont="1" applyAlignment="1">
      <alignment/>
    </xf>
    <xf numFmtId="0" fontId="0" fillId="0" borderId="0" xfId="0" applyBorder="1" applyAlignment="1">
      <alignment/>
    </xf>
    <xf numFmtId="0" fontId="11" fillId="0" borderId="0" xfId="0" applyFont="1" applyAlignment="1">
      <alignment/>
    </xf>
    <xf numFmtId="0" fontId="12" fillId="0" borderId="0" xfId="0" applyFont="1" applyAlignment="1">
      <alignment horizontal="right"/>
    </xf>
    <xf numFmtId="0" fontId="0" fillId="0" borderId="15" xfId="0" applyFont="1" applyFill="1" applyBorder="1" applyAlignment="1">
      <alignment/>
    </xf>
    <xf numFmtId="186" fontId="0" fillId="0" borderId="12" xfId="0" applyNumberFormat="1" applyFont="1" applyFill="1" applyBorder="1" applyAlignment="1">
      <alignment/>
    </xf>
    <xf numFmtId="0" fontId="0" fillId="0" borderId="12" xfId="0" applyFont="1" applyFill="1" applyBorder="1" applyAlignment="1">
      <alignment/>
    </xf>
    <xf numFmtId="10" fontId="0" fillId="0" borderId="12" xfId="0" applyNumberFormat="1" applyFont="1" applyFill="1" applyBorder="1" applyAlignment="1">
      <alignment/>
    </xf>
    <xf numFmtId="170" fontId="0" fillId="0" borderId="12" xfId="60" applyNumberFormat="1" applyFont="1" applyFill="1" applyBorder="1" applyAlignment="1">
      <alignment/>
    </xf>
    <xf numFmtId="3" fontId="0" fillId="0" borderId="16" xfId="0" applyNumberFormat="1" applyFont="1" applyFill="1" applyBorder="1" applyAlignment="1">
      <alignment/>
    </xf>
    <xf numFmtId="184" fontId="0" fillId="0" borderId="14" xfId="44" applyNumberFormat="1" applyFont="1" applyBorder="1" applyAlignment="1">
      <alignment/>
    </xf>
    <xf numFmtId="184" fontId="0" fillId="0" borderId="12" xfId="44" applyNumberFormat="1" applyFont="1" applyBorder="1" applyAlignment="1">
      <alignment/>
    </xf>
    <xf numFmtId="44" fontId="0" fillId="0" borderId="12" xfId="44" applyNumberFormat="1" applyFont="1" applyBorder="1" applyAlignment="1">
      <alignment/>
    </xf>
    <xf numFmtId="0" fontId="0" fillId="0" borderId="0" xfId="0" applyFont="1" applyAlignment="1">
      <alignment/>
    </xf>
    <xf numFmtId="182" fontId="0" fillId="0" borderId="0" xfId="42" applyNumberFormat="1" applyFont="1" applyAlignment="1">
      <alignment/>
    </xf>
    <xf numFmtId="185" fontId="0" fillId="0" borderId="17" xfId="0" applyNumberFormat="1" applyFont="1" applyBorder="1" applyAlignment="1">
      <alignment vertical="center"/>
    </xf>
    <xf numFmtId="3" fontId="0" fillId="0" borderId="17" xfId="0" applyNumberFormat="1" applyFont="1" applyBorder="1" applyAlignment="1">
      <alignment/>
    </xf>
    <xf numFmtId="186" fontId="0" fillId="0" borderId="12" xfId="0" applyNumberFormat="1" applyFont="1" applyBorder="1" applyAlignment="1">
      <alignment/>
    </xf>
    <xf numFmtId="1" fontId="0" fillId="0" borderId="12" xfId="0" applyNumberFormat="1" applyFont="1" applyFill="1" applyBorder="1" applyAlignment="1">
      <alignment/>
    </xf>
    <xf numFmtId="10" fontId="0" fillId="0" borderId="12" xfId="0" applyNumberFormat="1" applyFont="1" applyBorder="1" applyAlignment="1">
      <alignment/>
    </xf>
    <xf numFmtId="170" fontId="0" fillId="0" borderId="12" xfId="60" applyNumberFormat="1" applyFont="1" applyBorder="1" applyAlignment="1">
      <alignment/>
    </xf>
    <xf numFmtId="3" fontId="0" fillId="0" borderId="16" xfId="0" applyNumberFormat="1" applyFont="1" applyBorder="1" applyAlignment="1">
      <alignment/>
    </xf>
    <xf numFmtId="3" fontId="4" fillId="0" borderId="17" xfId="0" applyNumberFormat="1" applyFont="1" applyBorder="1" applyAlignment="1">
      <alignment vertical="center"/>
    </xf>
    <xf numFmtId="10" fontId="4" fillId="0" borderId="17" xfId="60" applyNumberFormat="1" applyFont="1" applyBorder="1" applyAlignment="1">
      <alignment/>
    </xf>
    <xf numFmtId="184" fontId="4" fillId="0" borderId="0" xfId="44" applyNumberFormat="1" applyFont="1" applyAlignment="1">
      <alignment/>
    </xf>
    <xf numFmtId="0" fontId="0" fillId="0" borderId="0" xfId="0" applyFont="1" applyAlignment="1">
      <alignment/>
    </xf>
    <xf numFmtId="0" fontId="0" fillId="0" borderId="0" xfId="0" applyFont="1" applyAlignment="1">
      <alignment horizontal="center" vertical="center"/>
    </xf>
    <xf numFmtId="186" fontId="0" fillId="0" borderId="18" xfId="0" applyNumberFormat="1" applyFont="1" applyBorder="1" applyAlignment="1">
      <alignment/>
    </xf>
    <xf numFmtId="10" fontId="0" fillId="0" borderId="18" xfId="0" applyNumberFormat="1" applyFont="1" applyBorder="1" applyAlignment="1">
      <alignment/>
    </xf>
    <xf numFmtId="1" fontId="0" fillId="0" borderId="18" xfId="0" applyNumberFormat="1" applyFont="1" applyFill="1" applyBorder="1" applyAlignment="1">
      <alignment/>
    </xf>
    <xf numFmtId="170" fontId="0" fillId="0" borderId="18" xfId="60" applyNumberFormat="1" applyFont="1" applyBorder="1" applyAlignment="1">
      <alignment/>
    </xf>
    <xf numFmtId="3" fontId="0" fillId="0" borderId="19" xfId="0" applyNumberFormat="1" applyFont="1" applyBorder="1" applyAlignment="1">
      <alignment/>
    </xf>
    <xf numFmtId="3" fontId="4" fillId="32" borderId="20" xfId="0" applyNumberFormat="1" applyFont="1" applyFill="1" applyBorder="1" applyAlignment="1" applyProtection="1">
      <alignment/>
      <protection/>
    </xf>
    <xf numFmtId="183" fontId="0" fillId="0" borderId="21" xfId="0" applyNumberFormat="1" applyFont="1" applyBorder="1" applyAlignment="1">
      <alignment vertical="center"/>
    </xf>
    <xf numFmtId="182" fontId="4" fillId="0" borderId="22" xfId="42" applyNumberFormat="1" applyFont="1" applyBorder="1" applyAlignment="1">
      <alignment vertical="center"/>
    </xf>
    <xf numFmtId="0" fontId="0" fillId="0" borderId="23" xfId="0" applyFont="1" applyBorder="1" applyAlignment="1">
      <alignment vertical="center" wrapText="1"/>
    </xf>
    <xf numFmtId="0" fontId="0" fillId="0" borderId="24" xfId="0" applyFont="1" applyFill="1" applyBorder="1" applyAlignment="1">
      <alignment vertical="center" wrapText="1"/>
    </xf>
    <xf numFmtId="0" fontId="0" fillId="0" borderId="24" xfId="0" applyFont="1" applyBorder="1" applyAlignment="1">
      <alignment vertical="center" wrapText="1"/>
    </xf>
    <xf numFmtId="0" fontId="0" fillId="0" borderId="20" xfId="0" applyFont="1" applyBorder="1" applyAlignment="1">
      <alignment vertical="center" wrapText="1"/>
    </xf>
    <xf numFmtId="0" fontId="4" fillId="0" borderId="25" xfId="0" applyFont="1" applyBorder="1" applyAlignment="1">
      <alignment horizontal="right"/>
    </xf>
    <xf numFmtId="49" fontId="4" fillId="0" borderId="26" xfId="0" applyNumberFormat="1" applyFont="1" applyBorder="1" applyAlignment="1">
      <alignment horizontal="right"/>
    </xf>
    <xf numFmtId="182" fontId="4" fillId="0" borderId="21" xfId="42" applyNumberFormat="1" applyFont="1" applyBorder="1" applyAlignment="1">
      <alignment horizontal="left" vertical="center"/>
    </xf>
    <xf numFmtId="0" fontId="0" fillId="0" borderId="12" xfId="0" applyFill="1" applyBorder="1" applyAlignment="1">
      <alignment/>
    </xf>
    <xf numFmtId="44" fontId="0" fillId="0" borderId="12" xfId="44" applyNumberFormat="1" applyFont="1" applyFill="1" applyBorder="1" applyAlignment="1">
      <alignment/>
    </xf>
    <xf numFmtId="184" fontId="0" fillId="0" borderId="12" xfId="44" applyNumberFormat="1" applyFont="1" applyFill="1" applyBorder="1" applyAlignment="1">
      <alignment/>
    </xf>
    <xf numFmtId="0" fontId="0" fillId="0" borderId="18" xfId="0" applyFill="1" applyBorder="1" applyAlignment="1">
      <alignment/>
    </xf>
    <xf numFmtId="44" fontId="0" fillId="0" borderId="18" xfId="44" applyNumberFormat="1" applyFont="1" applyFill="1" applyBorder="1" applyAlignment="1">
      <alignment/>
    </xf>
    <xf numFmtId="184" fontId="0" fillId="0" borderId="18" xfId="44" applyNumberFormat="1" applyFont="1" applyFill="1" applyBorder="1" applyAlignment="1">
      <alignment/>
    </xf>
    <xf numFmtId="170" fontId="0" fillId="0" borderId="0" xfId="60" applyNumberFormat="1" applyFont="1" applyBorder="1" applyAlignment="1">
      <alignment/>
    </xf>
    <xf numFmtId="44" fontId="1" fillId="0" borderId="0" xfId="0" applyNumberFormat="1" applyFont="1" applyAlignment="1">
      <alignment/>
    </xf>
    <xf numFmtId="43" fontId="0" fillId="0" borderId="0" xfId="42" applyFont="1" applyAlignment="1">
      <alignment/>
    </xf>
    <xf numFmtId="170" fontId="0" fillId="0" borderId="0" xfId="0" applyNumberFormat="1" applyAlignment="1">
      <alignment/>
    </xf>
    <xf numFmtId="170" fontId="0" fillId="0" borderId="27" xfId="60" applyNumberFormat="1" applyFont="1" applyBorder="1" applyAlignment="1">
      <alignment/>
    </xf>
    <xf numFmtId="0" fontId="0" fillId="0" borderId="28" xfId="0" applyFont="1" applyFill="1" applyBorder="1" applyAlignment="1">
      <alignment horizontal="right" vertical="center"/>
    </xf>
    <xf numFmtId="0" fontId="49" fillId="0" borderId="0" xfId="0" applyFont="1" applyAlignment="1">
      <alignment horizontal="right"/>
    </xf>
    <xf numFmtId="0" fontId="49" fillId="0" borderId="0" xfId="0" applyFont="1" applyAlignment="1">
      <alignment horizontal="right" wrapText="1"/>
    </xf>
    <xf numFmtId="166" fontId="8" fillId="33" borderId="29" xfId="0" applyNumberFormat="1" applyFont="1" applyFill="1" applyBorder="1" applyAlignment="1" applyProtection="1">
      <alignment/>
      <protection locked="0"/>
    </xf>
    <xf numFmtId="0" fontId="4" fillId="33" borderId="30" xfId="0" applyFont="1" applyFill="1" applyBorder="1" applyAlignment="1">
      <alignment/>
    </xf>
    <xf numFmtId="8" fontId="2" fillId="34" borderId="30" xfId="0" applyNumberFormat="1" applyFont="1" applyFill="1" applyBorder="1" applyAlignment="1">
      <alignment/>
    </xf>
    <xf numFmtId="6" fontId="2" fillId="34" borderId="30" xfId="0" applyNumberFormat="1" applyFont="1" applyFill="1" applyBorder="1" applyAlignment="1">
      <alignment/>
    </xf>
    <xf numFmtId="3" fontId="8" fillId="33" borderId="31" xfId="0" applyNumberFormat="1" applyFont="1" applyFill="1" applyBorder="1" applyAlignment="1">
      <alignment/>
    </xf>
    <xf numFmtId="7" fontId="8" fillId="0" borderId="32" xfId="44" applyNumberFormat="1" applyFont="1" applyBorder="1" applyAlignment="1">
      <alignment/>
    </xf>
    <xf numFmtId="5" fontId="8" fillId="0" borderId="32" xfId="44" applyNumberFormat="1" applyFont="1" applyBorder="1" applyAlignment="1">
      <alignment/>
    </xf>
    <xf numFmtId="0" fontId="14" fillId="35" borderId="12" xfId="57" applyFont="1" applyFill="1" applyBorder="1" applyAlignment="1">
      <alignment horizontal="right" wrapText="1"/>
      <protection/>
    </xf>
    <xf numFmtId="188" fontId="14" fillId="35" borderId="12" xfId="57" applyNumberFormat="1" applyFont="1" applyFill="1" applyBorder="1" applyAlignment="1">
      <alignment horizontal="right" wrapText="1"/>
      <protection/>
    </xf>
    <xf numFmtId="0" fontId="14" fillId="0" borderId="33" xfId="57" applyFont="1" applyFill="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Y10 cases &amp; proj case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view="pageLayout" workbookViewId="0" topLeftCell="A1">
      <selection activeCell="H13" sqref="H13"/>
    </sheetView>
  </sheetViews>
  <sheetFormatPr defaultColWidth="9.140625" defaultRowHeight="12.75"/>
  <cols>
    <col min="1" max="1" width="28.140625" style="0" customWidth="1"/>
    <col min="2" max="2" width="13.7109375" style="0" customWidth="1"/>
    <col min="3" max="3" width="9.28125" style="0" customWidth="1"/>
    <col min="5" max="5" width="10.28125" style="0" customWidth="1"/>
    <col min="6" max="6" width="7.8515625" style="0" customWidth="1"/>
    <col min="7" max="7" width="24.140625" style="0" customWidth="1"/>
    <col min="8" max="8" width="17.00390625" style="0" customWidth="1"/>
    <col min="9" max="9" width="16.140625" style="0" customWidth="1"/>
    <col min="10" max="10" width="14.140625" style="0" bestFit="1" customWidth="1"/>
    <col min="11" max="11" width="11.140625" style="0" bestFit="1" customWidth="1"/>
  </cols>
  <sheetData>
    <row r="1" spans="1:8" ht="19.5" customHeight="1" thickBot="1">
      <c r="A1" s="24" t="s">
        <v>35</v>
      </c>
      <c r="G1" s="9"/>
      <c r="H1" s="5"/>
    </row>
    <row r="2" spans="1:8" ht="24.75" customHeight="1" thickBot="1">
      <c r="A2" t="s">
        <v>3</v>
      </c>
      <c r="B2" s="84">
        <v>7.820616523663421</v>
      </c>
      <c r="C2" s="14" t="s">
        <v>18</v>
      </c>
      <c r="D2" s="16"/>
      <c r="E2" s="16"/>
      <c r="F2" s="16"/>
      <c r="G2" s="17"/>
      <c r="H2" s="5"/>
    </row>
    <row r="3" spans="1:8" ht="12.75">
      <c r="A3" t="s">
        <v>0</v>
      </c>
      <c r="B3" s="85">
        <v>4</v>
      </c>
      <c r="H3" s="5"/>
    </row>
    <row r="4" spans="1:8" ht="12.75">
      <c r="A4" t="s">
        <v>1</v>
      </c>
      <c r="B4" s="86">
        <v>1062</v>
      </c>
      <c r="C4" t="s">
        <v>16</v>
      </c>
      <c r="H4" s="5"/>
    </row>
    <row r="5" spans="1:8" ht="13.5" thickBot="1">
      <c r="A5" t="s">
        <v>2</v>
      </c>
      <c r="B5" s="87">
        <v>30</v>
      </c>
      <c r="C5" t="s">
        <v>16</v>
      </c>
      <c r="H5" s="5"/>
    </row>
    <row r="6" spans="1:6" ht="29.25" customHeight="1" thickBot="1">
      <c r="A6" t="s">
        <v>14</v>
      </c>
      <c r="B6" s="88">
        <v>227000</v>
      </c>
      <c r="C6" s="14" t="s">
        <v>17</v>
      </c>
      <c r="D6" s="15"/>
      <c r="E6" s="16"/>
      <c r="F6" s="15"/>
    </row>
    <row r="7" ht="12.75">
      <c r="A7" s="4" t="s">
        <v>9</v>
      </c>
    </row>
    <row r="8" spans="1:7" ht="12.75">
      <c r="A8" t="s">
        <v>4</v>
      </c>
      <c r="B8" s="29">
        <f>(215*High_Low_Ratio-60)/(High_Low_Ratio-1)</f>
        <v>266.6666666666667</v>
      </c>
      <c r="C8" s="3" t="s">
        <v>5</v>
      </c>
      <c r="E8">
        <f>Formula_Coefficient</f>
        <v>7.820616523663421</v>
      </c>
      <c r="F8" s="3" t="s">
        <v>6</v>
      </c>
      <c r="G8" s="28"/>
    </row>
    <row r="9" spans="3:8" ht="12.75">
      <c r="C9" s="29"/>
      <c r="D9" s="3"/>
      <c r="G9" s="3"/>
      <c r="H9" s="28"/>
    </row>
    <row r="10" ht="12.75">
      <c r="H10" s="5"/>
    </row>
    <row r="11" spans="1:8" ht="12.75">
      <c r="A11" s="4"/>
      <c r="H11" s="5"/>
    </row>
    <row r="12" spans="1:8" ht="13.5" thickBot="1">
      <c r="A12" s="4" t="s">
        <v>10</v>
      </c>
      <c r="H12" s="5"/>
    </row>
    <row r="13" spans="1:2" ht="24" customHeight="1" thickBot="1">
      <c r="A13" s="90">
        <f>'Ben Calc'!C34</f>
        <v>43182000.000040434</v>
      </c>
      <c r="B13" t="s">
        <v>21</v>
      </c>
    </row>
    <row r="14" spans="1:2" ht="12.75">
      <c r="A14" s="42">
        <v>43182000</v>
      </c>
      <c r="B14" s="41" t="s">
        <v>30</v>
      </c>
    </row>
    <row r="16" ht="13.5" thickBot="1">
      <c r="A16" s="4" t="s">
        <v>11</v>
      </c>
    </row>
    <row r="17" spans="1:8" ht="24.75" customHeight="1" thickBot="1">
      <c r="A17" s="89">
        <f>A13/'FY14 Cases &amp; Projection'!F34</f>
        <v>190.22907489004598</v>
      </c>
      <c r="G17" s="19"/>
      <c r="H17" s="18"/>
    </row>
    <row r="18" spans="1:12" ht="12.75">
      <c r="A18" s="4"/>
      <c r="B18" s="10"/>
      <c r="H18" s="19"/>
      <c r="I18" s="21"/>
      <c r="J18" s="20"/>
      <c r="K18" s="22"/>
      <c r="L18" s="11"/>
    </row>
    <row r="19" spans="1:12" ht="39">
      <c r="A19" s="82" t="s">
        <v>34</v>
      </c>
      <c r="B19" s="83" t="s">
        <v>20</v>
      </c>
      <c r="C19" s="83" t="s">
        <v>36</v>
      </c>
      <c r="G19" s="23"/>
      <c r="H19" s="19"/>
      <c r="I19" s="6"/>
      <c r="J19" s="20"/>
      <c r="K19" s="22"/>
      <c r="L19" s="11"/>
    </row>
    <row r="20" spans="1:12" ht="12.75">
      <c r="A20" s="41">
        <v>215</v>
      </c>
      <c r="B20" s="76">
        <f>(((215*High_Low_Ratio-60)/(High_Low_Ratio-1)-A20)/Formula_Coefficient)*0.01</f>
        <v>0.06606469772598492</v>
      </c>
      <c r="G20" s="23"/>
      <c r="J20" s="20"/>
      <c r="K20" s="22"/>
      <c r="L20" s="11"/>
    </row>
    <row r="21" spans="1:3" ht="12.75">
      <c r="A21" s="41">
        <v>60</v>
      </c>
      <c r="B21" s="76">
        <f>(((215*High_Low_Ratio-60)/(High_Low_Ratio-1)-A21)/Formula_Coefficient)*0.01</f>
        <v>0.2642587909039396</v>
      </c>
      <c r="C21" s="78">
        <f>B21/B20</f>
        <v>3.999999999999999</v>
      </c>
    </row>
  </sheetData>
  <sheetProtection/>
  <printOptions horizontalCentered="1"/>
  <pageMargins left="0" right="0" top="0.25" bottom="0.35" header="0" footer="0"/>
  <pageSetup cellComments="asDisplayed" fitToHeight="1" fitToWidth="1"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N65"/>
  <sheetViews>
    <sheetView zoomScalePageLayoutView="0" workbookViewId="0" topLeftCell="A1">
      <selection activeCell="M6" sqref="M6"/>
    </sheetView>
  </sheetViews>
  <sheetFormatPr defaultColWidth="9.140625" defaultRowHeight="12.75"/>
  <cols>
    <col min="2" max="2" width="13.421875" style="0" customWidth="1"/>
    <col min="3" max="3" width="18.421875" style="0" customWidth="1"/>
    <col min="4" max="4" width="13.140625" style="0" customWidth="1"/>
    <col min="5" max="5" width="14.57421875" style="0" customWidth="1"/>
    <col min="6" max="6" width="12.140625" style="6" customWidth="1"/>
    <col min="7" max="7" width="4.7109375" style="0" customWidth="1"/>
    <col min="8" max="8" width="8.140625" style="0" customWidth="1"/>
    <col min="9" max="9" width="8.421875" style="0" bestFit="1" customWidth="1"/>
    <col min="10" max="10" width="13.7109375" style="0" customWidth="1"/>
    <col min="11" max="11" width="11.421875" style="53" customWidth="1"/>
    <col min="12" max="12" width="10.8515625" style="0" customWidth="1"/>
  </cols>
  <sheetData>
    <row r="1" spans="1:12" s="54" customFormat="1" ht="63.75" customHeight="1">
      <c r="A1" s="63" t="s">
        <v>8</v>
      </c>
      <c r="B1" s="64" t="s">
        <v>19</v>
      </c>
      <c r="C1" s="64" t="s">
        <v>25</v>
      </c>
      <c r="D1" s="65" t="s">
        <v>31</v>
      </c>
      <c r="E1" s="65" t="s">
        <v>29</v>
      </c>
      <c r="F1" s="66" t="s">
        <v>15</v>
      </c>
      <c r="H1" s="93" t="s">
        <v>26</v>
      </c>
      <c r="I1" s="93" t="s">
        <v>27</v>
      </c>
      <c r="J1" s="93" t="s">
        <v>28</v>
      </c>
      <c r="K1" s="93" t="s">
        <v>22</v>
      </c>
      <c r="L1" s="93" t="s">
        <v>23</v>
      </c>
    </row>
    <row r="2" spans="1:12" ht="15.75">
      <c r="A2" s="32">
        <f>H2</f>
        <v>60</v>
      </c>
      <c r="B2" s="33">
        <f>K2</f>
        <v>959.7342</v>
      </c>
      <c r="C2" s="34">
        <f>L2</f>
        <v>38195</v>
      </c>
      <c r="D2" s="35">
        <f aca="true" t="shared" si="0" ref="D2:D27">C2/C$34</f>
        <v>0.17519276019759927</v>
      </c>
      <c r="E2" s="36">
        <f>D2</f>
        <v>0.17519276019759927</v>
      </c>
      <c r="F2" s="37">
        <f aca="true" t="shared" si="1" ref="F2:F27">F$34*E2</f>
        <v>39768.75656485504</v>
      </c>
      <c r="H2" s="91">
        <v>60</v>
      </c>
      <c r="I2" s="92">
        <v>101.25</v>
      </c>
      <c r="J2" s="92">
        <v>4019.5235</v>
      </c>
      <c r="K2" s="92">
        <v>959.7342</v>
      </c>
      <c r="L2" s="91">
        <v>38195</v>
      </c>
    </row>
    <row r="3" spans="1:12" ht="15.75">
      <c r="A3" s="32">
        <f aca="true" t="shared" si="2" ref="A3:A33">H3</f>
        <v>62.5</v>
      </c>
      <c r="B3" s="33">
        <f aca="true" t="shared" si="3" ref="B3:C29">K3</f>
        <v>970.3007</v>
      </c>
      <c r="C3" s="34">
        <f t="shared" si="3"/>
        <v>6211</v>
      </c>
      <c r="D3" s="35">
        <f t="shared" si="0"/>
        <v>0.0284886040996803</v>
      </c>
      <c r="E3" s="36">
        <f aca="true" t="shared" si="4" ref="E3:E33">D3</f>
        <v>0.0284886040996803</v>
      </c>
      <c r="F3" s="37">
        <f t="shared" si="1"/>
        <v>6466.913130627428</v>
      </c>
      <c r="H3" s="91">
        <v>62.5</v>
      </c>
      <c r="I3" s="92">
        <v>101.25</v>
      </c>
      <c r="J3" s="92">
        <v>3928</v>
      </c>
      <c r="K3" s="92">
        <v>970.3007</v>
      </c>
      <c r="L3" s="91">
        <v>6211</v>
      </c>
    </row>
    <row r="4" spans="1:12" ht="15.75">
      <c r="A4" s="32">
        <f t="shared" si="2"/>
        <v>67.5</v>
      </c>
      <c r="B4" s="33">
        <f t="shared" si="3"/>
        <v>966.3413</v>
      </c>
      <c r="C4" s="34">
        <f t="shared" si="3"/>
        <v>5653</v>
      </c>
      <c r="D4" s="35">
        <f t="shared" si="0"/>
        <v>0.0259291706610035</v>
      </c>
      <c r="E4" s="36">
        <f t="shared" si="4"/>
        <v>0.0259291706610035</v>
      </c>
      <c r="F4" s="37">
        <f t="shared" si="1"/>
        <v>5885.921740047795</v>
      </c>
      <c r="H4" s="91">
        <v>67.5</v>
      </c>
      <c r="I4" s="92">
        <v>101.25</v>
      </c>
      <c r="J4" s="92">
        <v>3710</v>
      </c>
      <c r="K4" s="92">
        <v>966.3413</v>
      </c>
      <c r="L4" s="91">
        <v>5653</v>
      </c>
    </row>
    <row r="5" spans="1:12" ht="15.75">
      <c r="A5" s="32">
        <f t="shared" si="2"/>
        <v>72.5</v>
      </c>
      <c r="B5" s="33">
        <f t="shared" si="3"/>
        <v>969.421</v>
      </c>
      <c r="C5" s="34">
        <f t="shared" si="3"/>
        <v>6064</v>
      </c>
      <c r="D5" s="35">
        <f t="shared" si="0"/>
        <v>0.02781434475293211</v>
      </c>
      <c r="E5" s="36">
        <f t="shared" si="4"/>
        <v>0.02781434475293211</v>
      </c>
      <c r="F5" s="37">
        <f t="shared" si="1"/>
        <v>6313.856258915589</v>
      </c>
      <c r="H5" s="91">
        <v>72.5</v>
      </c>
      <c r="I5" s="92">
        <v>101.25</v>
      </c>
      <c r="J5" s="92">
        <v>3712</v>
      </c>
      <c r="K5" s="92">
        <v>969.421</v>
      </c>
      <c r="L5" s="91">
        <v>6064</v>
      </c>
    </row>
    <row r="6" spans="1:12" ht="15.75">
      <c r="A6" s="32">
        <f t="shared" si="2"/>
        <v>77.5</v>
      </c>
      <c r="B6" s="33">
        <f t="shared" si="3"/>
        <v>943.0934</v>
      </c>
      <c r="C6" s="34">
        <f t="shared" si="3"/>
        <v>6979</v>
      </c>
      <c r="D6" s="35">
        <f t="shared" si="0"/>
        <v>0.0320112651765688</v>
      </c>
      <c r="E6" s="36">
        <f t="shared" si="4"/>
        <v>0.0320112651765688</v>
      </c>
      <c r="F6" s="37">
        <f t="shared" si="1"/>
        <v>7266.557195081117</v>
      </c>
      <c r="H6" s="91">
        <v>77.5</v>
      </c>
      <c r="I6" s="92">
        <v>101.25</v>
      </c>
      <c r="J6" s="92">
        <v>3936</v>
      </c>
      <c r="K6" s="92">
        <v>943.0934</v>
      </c>
      <c r="L6" s="91">
        <v>6979</v>
      </c>
    </row>
    <row r="7" spans="1:12" ht="15.75">
      <c r="A7" s="32">
        <f t="shared" si="2"/>
        <v>82.5</v>
      </c>
      <c r="B7" s="33">
        <f t="shared" si="3"/>
        <v>887.5447</v>
      </c>
      <c r="C7" s="34">
        <f t="shared" si="3"/>
        <v>14709</v>
      </c>
      <c r="D7" s="35">
        <f t="shared" si="0"/>
        <v>0.06746721585931373</v>
      </c>
      <c r="E7" s="36">
        <f t="shared" si="4"/>
        <v>0.06746721585931373</v>
      </c>
      <c r="F7" s="37">
        <f t="shared" si="1"/>
        <v>15315.058000064217</v>
      </c>
      <c r="H7" s="91">
        <v>82.5</v>
      </c>
      <c r="I7" s="92">
        <v>101.25</v>
      </c>
      <c r="J7" s="92">
        <v>3936</v>
      </c>
      <c r="K7" s="92">
        <v>887.5447</v>
      </c>
      <c r="L7" s="91">
        <v>14709</v>
      </c>
    </row>
    <row r="8" spans="1:12" ht="15.75">
      <c r="A8" s="32">
        <f t="shared" si="2"/>
        <v>87.5</v>
      </c>
      <c r="B8" s="33">
        <f t="shared" si="3"/>
        <v>878.2517</v>
      </c>
      <c r="C8" s="34">
        <f t="shared" si="3"/>
        <v>8837</v>
      </c>
      <c r="D8" s="35">
        <f t="shared" si="0"/>
        <v>0.04053353637560374</v>
      </c>
      <c r="E8" s="36">
        <f t="shared" si="4"/>
        <v>0.04053353637560374</v>
      </c>
      <c r="F8" s="37">
        <f t="shared" si="1"/>
        <v>9201.112757262048</v>
      </c>
      <c r="H8" s="91">
        <v>87.5</v>
      </c>
      <c r="I8" s="92">
        <v>101.25</v>
      </c>
      <c r="J8" s="92">
        <v>3936</v>
      </c>
      <c r="K8" s="92">
        <v>878.2517</v>
      </c>
      <c r="L8" s="91">
        <v>8837</v>
      </c>
    </row>
    <row r="9" spans="1:12" ht="15.75">
      <c r="A9" s="32">
        <f t="shared" si="2"/>
        <v>92.5</v>
      </c>
      <c r="B9" s="33">
        <f t="shared" si="3"/>
        <v>881.6318</v>
      </c>
      <c r="C9" s="34">
        <f t="shared" si="3"/>
        <v>8822</v>
      </c>
      <c r="D9" s="35">
        <f t="shared" si="0"/>
        <v>0.04046473440144576</v>
      </c>
      <c r="E9" s="36">
        <f t="shared" si="4"/>
        <v>0.04046473440144576</v>
      </c>
      <c r="F9" s="37">
        <f t="shared" si="1"/>
        <v>9185.494709128188</v>
      </c>
      <c r="H9" s="91">
        <v>92.5</v>
      </c>
      <c r="I9" s="92">
        <v>101.25</v>
      </c>
      <c r="J9" s="92">
        <v>3767.8296</v>
      </c>
      <c r="K9" s="92">
        <v>881.6318</v>
      </c>
      <c r="L9" s="91">
        <v>8822</v>
      </c>
    </row>
    <row r="10" spans="1:12" ht="15.75">
      <c r="A10" s="32">
        <f t="shared" si="2"/>
        <v>97.5</v>
      </c>
      <c r="B10" s="33">
        <f t="shared" si="3"/>
        <v>926.1984</v>
      </c>
      <c r="C10" s="34">
        <f t="shared" si="3"/>
        <v>7908</v>
      </c>
      <c r="D10" s="35">
        <f t="shared" si="0"/>
        <v>0.03627240077608627</v>
      </c>
      <c r="E10" s="36">
        <f t="shared" si="4"/>
        <v>0.03627240077608627</v>
      </c>
      <c r="F10" s="37">
        <f t="shared" si="1"/>
        <v>8233.834976171584</v>
      </c>
      <c r="H10" s="91">
        <v>97.5</v>
      </c>
      <c r="I10" s="92">
        <v>101.25</v>
      </c>
      <c r="J10" s="92">
        <v>4097.783</v>
      </c>
      <c r="K10" s="92">
        <v>926.1984</v>
      </c>
      <c r="L10" s="91">
        <v>7908</v>
      </c>
    </row>
    <row r="11" spans="1:12" ht="15.75">
      <c r="A11" s="32">
        <f t="shared" si="2"/>
        <v>102.5</v>
      </c>
      <c r="B11" s="33">
        <f t="shared" si="3"/>
        <v>954.8835</v>
      </c>
      <c r="C11" s="34">
        <f t="shared" si="3"/>
        <v>7422</v>
      </c>
      <c r="D11" s="35">
        <f t="shared" si="0"/>
        <v>0.03404321681336776</v>
      </c>
      <c r="E11" s="36">
        <f t="shared" si="4"/>
        <v>0.03404321681336776</v>
      </c>
      <c r="F11" s="37">
        <f t="shared" si="1"/>
        <v>7727.8102166344825</v>
      </c>
      <c r="H11" s="91">
        <v>102.5</v>
      </c>
      <c r="I11" s="92">
        <v>101.25</v>
      </c>
      <c r="J11" s="92">
        <v>4162</v>
      </c>
      <c r="K11" s="92">
        <v>954.8835</v>
      </c>
      <c r="L11" s="91">
        <v>7422</v>
      </c>
    </row>
    <row r="12" spans="1:12" ht="15.75">
      <c r="A12" s="32">
        <f t="shared" si="2"/>
        <v>107.5</v>
      </c>
      <c r="B12" s="33">
        <f t="shared" si="3"/>
        <v>943.4222</v>
      </c>
      <c r="C12" s="34">
        <f t="shared" si="3"/>
        <v>7471</v>
      </c>
      <c r="D12" s="35">
        <f t="shared" si="0"/>
        <v>0.034267969928950495</v>
      </c>
      <c r="E12" s="36">
        <f t="shared" si="4"/>
        <v>0.034267969928950495</v>
      </c>
      <c r="F12" s="37">
        <f t="shared" si="1"/>
        <v>7778.829173871763</v>
      </c>
      <c r="H12" s="91">
        <v>107.5</v>
      </c>
      <c r="I12" s="92">
        <v>101.25</v>
      </c>
      <c r="J12" s="92">
        <v>4162</v>
      </c>
      <c r="K12" s="92">
        <v>943.4222</v>
      </c>
      <c r="L12" s="91">
        <v>7471</v>
      </c>
    </row>
    <row r="13" spans="1:12" ht="15.75">
      <c r="A13" s="32">
        <f t="shared" si="2"/>
        <v>112.5</v>
      </c>
      <c r="B13" s="33">
        <f t="shared" si="3"/>
        <v>955.6762</v>
      </c>
      <c r="C13" s="34">
        <f t="shared" si="3"/>
        <v>7685</v>
      </c>
      <c r="D13" s="35">
        <f t="shared" si="0"/>
        <v>0.035249544760270986</v>
      </c>
      <c r="E13" s="36">
        <f t="shared" si="4"/>
        <v>0.035249544760270986</v>
      </c>
      <c r="F13" s="37">
        <f t="shared" si="1"/>
        <v>8001.646660581514</v>
      </c>
      <c r="H13" s="91">
        <v>112.5</v>
      </c>
      <c r="I13" s="92">
        <v>101.25</v>
      </c>
      <c r="J13" s="92">
        <v>3928</v>
      </c>
      <c r="K13" s="92">
        <v>955.6762</v>
      </c>
      <c r="L13" s="91">
        <v>7685</v>
      </c>
    </row>
    <row r="14" spans="1:12" ht="15.75">
      <c r="A14" s="32">
        <f t="shared" si="2"/>
        <v>117.5</v>
      </c>
      <c r="B14" s="33">
        <f t="shared" si="3"/>
        <v>953.5527</v>
      </c>
      <c r="C14" s="34">
        <f t="shared" si="3"/>
        <v>7465</v>
      </c>
      <c r="D14" s="35">
        <f t="shared" si="0"/>
        <v>0.0342404491392873</v>
      </c>
      <c r="E14" s="36">
        <f t="shared" si="4"/>
        <v>0.0342404491392873</v>
      </c>
      <c r="F14" s="37">
        <f t="shared" si="1"/>
        <v>7772.581954618217</v>
      </c>
      <c r="H14" s="91">
        <v>117.5</v>
      </c>
      <c r="I14" s="92">
        <v>101.25</v>
      </c>
      <c r="J14" s="92">
        <v>3928</v>
      </c>
      <c r="K14" s="92">
        <v>953.5527</v>
      </c>
      <c r="L14" s="91">
        <v>7465</v>
      </c>
    </row>
    <row r="15" spans="1:12" ht="15.75">
      <c r="A15" s="32">
        <f t="shared" si="2"/>
        <v>122.5</v>
      </c>
      <c r="B15" s="33">
        <f t="shared" si="3"/>
        <v>953.8179</v>
      </c>
      <c r="C15" s="34">
        <f t="shared" si="3"/>
        <v>7684</v>
      </c>
      <c r="D15" s="35">
        <f t="shared" si="0"/>
        <v>0.03524495796199379</v>
      </c>
      <c r="E15" s="36">
        <f t="shared" si="4"/>
        <v>0.03524495796199379</v>
      </c>
      <c r="F15" s="37">
        <f t="shared" si="1"/>
        <v>8000.6054573725905</v>
      </c>
      <c r="H15" s="91">
        <v>122.5</v>
      </c>
      <c r="I15" s="92">
        <v>101.25</v>
      </c>
      <c r="J15" s="92">
        <v>4162</v>
      </c>
      <c r="K15" s="92">
        <v>953.8179</v>
      </c>
      <c r="L15" s="91">
        <v>7684</v>
      </c>
    </row>
    <row r="16" spans="1:12" ht="15.75">
      <c r="A16" s="32">
        <f t="shared" si="2"/>
        <v>127.5</v>
      </c>
      <c r="B16" s="33">
        <f t="shared" si="3"/>
        <v>965.3972</v>
      </c>
      <c r="C16" s="34">
        <f t="shared" si="3"/>
        <v>7320</v>
      </c>
      <c r="D16" s="35">
        <f t="shared" si="0"/>
        <v>0.03357536338909351</v>
      </c>
      <c r="E16" s="36">
        <f t="shared" si="4"/>
        <v>0.03357536338909351</v>
      </c>
      <c r="F16" s="37">
        <f t="shared" si="1"/>
        <v>7621.607489324227</v>
      </c>
      <c r="H16" s="91">
        <v>127.5</v>
      </c>
      <c r="I16" s="92">
        <v>101.25</v>
      </c>
      <c r="J16" s="92">
        <v>3936</v>
      </c>
      <c r="K16" s="92">
        <v>965.3972</v>
      </c>
      <c r="L16" s="91">
        <v>7320</v>
      </c>
    </row>
    <row r="17" spans="1:12" ht="15.75">
      <c r="A17" s="32">
        <f t="shared" si="2"/>
        <v>132.5</v>
      </c>
      <c r="B17" s="33">
        <f t="shared" si="3"/>
        <v>976.7639</v>
      </c>
      <c r="C17" s="34">
        <f t="shared" si="3"/>
        <v>6851</v>
      </c>
      <c r="D17" s="35">
        <f t="shared" si="0"/>
        <v>0.03142415499708738</v>
      </c>
      <c r="E17" s="36">
        <f t="shared" si="4"/>
        <v>0.03142415499708738</v>
      </c>
      <c r="F17" s="37">
        <f t="shared" si="1"/>
        <v>7133.283184338836</v>
      </c>
      <c r="H17" s="91">
        <v>132.5</v>
      </c>
      <c r="I17" s="92">
        <v>174.75</v>
      </c>
      <c r="J17" s="92">
        <v>4162</v>
      </c>
      <c r="K17" s="92">
        <v>976.7639</v>
      </c>
      <c r="L17" s="91">
        <v>6851</v>
      </c>
    </row>
    <row r="18" spans="1:12" ht="15.75">
      <c r="A18" s="32">
        <f t="shared" si="2"/>
        <v>137.5</v>
      </c>
      <c r="B18" s="33">
        <f t="shared" si="3"/>
        <v>980.8002</v>
      </c>
      <c r="C18" s="34">
        <f t="shared" si="3"/>
        <v>6373</v>
      </c>
      <c r="D18" s="35">
        <f t="shared" si="0"/>
        <v>0.02923166542058647</v>
      </c>
      <c r="E18" s="36">
        <f t="shared" si="4"/>
        <v>0.02923166542058647</v>
      </c>
      <c r="F18" s="37">
        <f t="shared" si="1"/>
        <v>6635.5880504731285</v>
      </c>
      <c r="H18" s="91">
        <v>137.5</v>
      </c>
      <c r="I18" s="92">
        <v>174.75</v>
      </c>
      <c r="J18" s="92">
        <v>3928</v>
      </c>
      <c r="K18" s="92">
        <v>980.8002</v>
      </c>
      <c r="L18" s="91">
        <v>6373</v>
      </c>
    </row>
    <row r="19" spans="1:12" ht="15.75">
      <c r="A19" s="32">
        <f t="shared" si="2"/>
        <v>142.5</v>
      </c>
      <c r="B19" s="33">
        <f t="shared" si="3"/>
        <v>987.0251</v>
      </c>
      <c r="C19" s="34">
        <f t="shared" si="3"/>
        <v>5941</v>
      </c>
      <c r="D19" s="35">
        <f t="shared" si="0"/>
        <v>0.027250168564836686</v>
      </c>
      <c r="E19" s="36">
        <f t="shared" si="4"/>
        <v>0.027250168564836686</v>
      </c>
      <c r="F19" s="37">
        <f t="shared" si="1"/>
        <v>6185.7882642179275</v>
      </c>
      <c r="H19" s="91">
        <v>142.5</v>
      </c>
      <c r="I19" s="92">
        <v>101.25</v>
      </c>
      <c r="J19" s="92">
        <v>3936</v>
      </c>
      <c r="K19" s="92">
        <v>987.0251</v>
      </c>
      <c r="L19" s="91">
        <v>5941</v>
      </c>
    </row>
    <row r="20" spans="1:14" ht="15.75">
      <c r="A20" s="32">
        <f t="shared" si="2"/>
        <v>147.5</v>
      </c>
      <c r="B20" s="33">
        <f t="shared" si="3"/>
        <v>999.0165</v>
      </c>
      <c r="C20" s="34">
        <f t="shared" si="3"/>
        <v>5566</v>
      </c>
      <c r="D20" s="35">
        <f t="shared" si="0"/>
        <v>0.025530119210887225</v>
      </c>
      <c r="E20" s="36">
        <f t="shared" si="4"/>
        <v>0.025530119210887225</v>
      </c>
      <c r="F20" s="37">
        <f t="shared" si="1"/>
        <v>5795.3370608714</v>
      </c>
      <c r="H20" s="91">
        <v>147.5</v>
      </c>
      <c r="I20" s="92">
        <v>101.25</v>
      </c>
      <c r="J20" s="92">
        <v>3928</v>
      </c>
      <c r="K20" s="92">
        <v>999.0165</v>
      </c>
      <c r="L20" s="91">
        <v>5566</v>
      </c>
      <c r="M20" s="30"/>
      <c r="N20" s="30"/>
    </row>
    <row r="21" spans="1:12" ht="15.75">
      <c r="A21" s="32">
        <f t="shared" si="2"/>
        <v>152.5</v>
      </c>
      <c r="B21" s="45">
        <f t="shared" si="3"/>
        <v>989.9601</v>
      </c>
      <c r="C21" s="46">
        <f t="shared" si="3"/>
        <v>5341</v>
      </c>
      <c r="D21" s="47">
        <f t="shared" si="0"/>
        <v>0.024498089598517545</v>
      </c>
      <c r="E21" s="48">
        <f t="shared" si="4"/>
        <v>0.024498089598517545</v>
      </c>
      <c r="F21" s="49">
        <f t="shared" si="1"/>
        <v>5561.066338863483</v>
      </c>
      <c r="H21" s="91">
        <v>152.5</v>
      </c>
      <c r="I21" s="92">
        <v>174.75</v>
      </c>
      <c r="J21" s="92">
        <v>4162</v>
      </c>
      <c r="K21" s="92">
        <v>989.9601</v>
      </c>
      <c r="L21" s="91">
        <v>5341</v>
      </c>
    </row>
    <row r="22" spans="1:12" ht="15.75">
      <c r="A22" s="32">
        <f t="shared" si="2"/>
        <v>157.5</v>
      </c>
      <c r="B22" s="45">
        <f t="shared" si="3"/>
        <v>995.1408</v>
      </c>
      <c r="C22" s="46">
        <f t="shared" si="3"/>
        <v>5012</v>
      </c>
      <c r="D22" s="47">
        <f t="shared" si="0"/>
        <v>0.02298903296531922</v>
      </c>
      <c r="E22" s="48">
        <f t="shared" si="4"/>
        <v>0.02298903296531922</v>
      </c>
      <c r="F22" s="49">
        <f t="shared" si="1"/>
        <v>5218.510483127463</v>
      </c>
      <c r="H22" s="91">
        <v>157.5</v>
      </c>
      <c r="I22" s="92">
        <v>164.0242</v>
      </c>
      <c r="J22" s="92">
        <v>3928</v>
      </c>
      <c r="K22" s="92">
        <v>995.1408</v>
      </c>
      <c r="L22" s="91">
        <v>5012</v>
      </c>
    </row>
    <row r="23" spans="1:12" ht="15.75">
      <c r="A23" s="32">
        <f t="shared" si="2"/>
        <v>162.5</v>
      </c>
      <c r="B23" s="45">
        <f t="shared" si="3"/>
        <v>1009.7602</v>
      </c>
      <c r="C23" s="46">
        <f t="shared" si="3"/>
        <v>4764</v>
      </c>
      <c r="D23" s="47">
        <f t="shared" si="0"/>
        <v>0.021851506992573974</v>
      </c>
      <c r="E23" s="48">
        <f t="shared" si="4"/>
        <v>0.021851506992573974</v>
      </c>
      <c r="F23" s="49">
        <f t="shared" si="1"/>
        <v>4960.292087314292</v>
      </c>
      <c r="H23" s="91">
        <v>162.5</v>
      </c>
      <c r="I23" s="92">
        <v>174.75</v>
      </c>
      <c r="J23" s="92">
        <v>3928</v>
      </c>
      <c r="K23" s="92">
        <v>1009.7602</v>
      </c>
      <c r="L23" s="91">
        <v>4764</v>
      </c>
    </row>
    <row r="24" spans="1:12" ht="15.75">
      <c r="A24" s="32">
        <f t="shared" si="2"/>
        <v>167.5</v>
      </c>
      <c r="B24" s="45">
        <f t="shared" si="3"/>
        <v>1014.0535</v>
      </c>
      <c r="C24" s="46">
        <f t="shared" si="3"/>
        <v>4443</v>
      </c>
      <c r="D24" s="47">
        <f t="shared" si="0"/>
        <v>0.020379144745593235</v>
      </c>
      <c r="E24" s="48">
        <f t="shared" si="4"/>
        <v>0.020379144745593235</v>
      </c>
      <c r="F24" s="49">
        <f t="shared" si="1"/>
        <v>4626.065857249664</v>
      </c>
      <c r="H24" s="91">
        <v>167.5</v>
      </c>
      <c r="I24" s="92">
        <v>174.75</v>
      </c>
      <c r="J24" s="92">
        <v>3928</v>
      </c>
      <c r="K24" s="92">
        <v>1014.0535</v>
      </c>
      <c r="L24" s="91">
        <v>4443</v>
      </c>
    </row>
    <row r="25" spans="1:12" ht="15.75">
      <c r="A25" s="32">
        <f t="shared" si="2"/>
        <v>172.5</v>
      </c>
      <c r="B25" s="45">
        <f t="shared" si="3"/>
        <v>1019.048</v>
      </c>
      <c r="C25" s="46">
        <f t="shared" si="3"/>
        <v>4188</v>
      </c>
      <c r="D25" s="47">
        <f t="shared" si="0"/>
        <v>0.019209511184907598</v>
      </c>
      <c r="E25" s="48">
        <f t="shared" si="4"/>
        <v>0.019209511184907598</v>
      </c>
      <c r="F25" s="49">
        <f t="shared" si="1"/>
        <v>4360.559038974025</v>
      </c>
      <c r="H25" s="91">
        <v>172.5</v>
      </c>
      <c r="I25" s="92">
        <v>174.75</v>
      </c>
      <c r="J25" s="92">
        <v>3928</v>
      </c>
      <c r="K25" s="92">
        <v>1019.048</v>
      </c>
      <c r="L25" s="91">
        <v>4188</v>
      </c>
    </row>
    <row r="26" spans="1:12" ht="15.75">
      <c r="A26" s="32">
        <f t="shared" si="2"/>
        <v>177.5</v>
      </c>
      <c r="B26" s="45">
        <f t="shared" si="3"/>
        <v>1022.392</v>
      </c>
      <c r="C26" s="46">
        <f t="shared" si="3"/>
        <v>3848</v>
      </c>
      <c r="D26" s="47">
        <f t="shared" si="0"/>
        <v>0.017649999770660087</v>
      </c>
      <c r="E26" s="48">
        <f t="shared" si="4"/>
        <v>0.017649999770660087</v>
      </c>
      <c r="F26" s="49">
        <f t="shared" si="1"/>
        <v>4006.54994793984</v>
      </c>
      <c r="H26" s="91">
        <v>177.5</v>
      </c>
      <c r="I26" s="92">
        <v>128.3282</v>
      </c>
      <c r="J26" s="92">
        <v>3928</v>
      </c>
      <c r="K26" s="92">
        <v>1022.392</v>
      </c>
      <c r="L26" s="91">
        <v>3848</v>
      </c>
    </row>
    <row r="27" spans="1:12" ht="15.75">
      <c r="A27" s="32">
        <f t="shared" si="2"/>
        <v>182.5</v>
      </c>
      <c r="B27" s="45">
        <f t="shared" si="3"/>
        <v>1038.6701</v>
      </c>
      <c r="C27" s="46">
        <f t="shared" si="3"/>
        <v>3505</v>
      </c>
      <c r="D27" s="47">
        <f t="shared" si="0"/>
        <v>0.016076727961580977</v>
      </c>
      <c r="E27" s="48">
        <f t="shared" si="4"/>
        <v>0.016076727961580977</v>
      </c>
      <c r="F27" s="49">
        <f t="shared" si="1"/>
        <v>3649.417247278882</v>
      </c>
      <c r="H27" s="91">
        <v>182.5</v>
      </c>
      <c r="I27" s="92">
        <v>174.75</v>
      </c>
      <c r="J27" s="92">
        <v>3928</v>
      </c>
      <c r="K27" s="92">
        <v>1038.6701</v>
      </c>
      <c r="L27" s="91">
        <v>3505</v>
      </c>
    </row>
    <row r="28" spans="1:12" ht="15.75">
      <c r="A28" s="32">
        <f t="shared" si="2"/>
        <v>187.5</v>
      </c>
      <c r="B28" s="45">
        <f aca="true" t="shared" si="5" ref="B28:C33">K28</f>
        <v>1042.9733</v>
      </c>
      <c r="C28" s="46">
        <f t="shared" si="3"/>
        <v>3331</v>
      </c>
      <c r="D28" s="47">
        <f aca="true" t="shared" si="6" ref="D28:D33">C28/C$34</f>
        <v>0.015278625061348427</v>
      </c>
      <c r="E28" s="48">
        <f t="shared" si="4"/>
        <v>0.015278625061348427</v>
      </c>
      <c r="F28" s="49">
        <f aca="true" t="shared" si="7" ref="F28:F33">F$34*E28</f>
        <v>3468.247888926093</v>
      </c>
      <c r="H28" s="91">
        <v>187.5</v>
      </c>
      <c r="I28" s="92">
        <v>125.766</v>
      </c>
      <c r="J28" s="92">
        <v>4162</v>
      </c>
      <c r="K28" s="92">
        <v>1042.9733</v>
      </c>
      <c r="L28" s="91">
        <v>3331</v>
      </c>
    </row>
    <row r="29" spans="1:12" ht="15.75">
      <c r="A29" s="32">
        <f t="shared" si="2"/>
        <v>192.5</v>
      </c>
      <c r="B29" s="45">
        <f t="shared" si="5"/>
        <v>1047.4144</v>
      </c>
      <c r="C29" s="46">
        <f t="shared" si="3"/>
        <v>2900</v>
      </c>
      <c r="D29" s="47">
        <f t="shared" si="6"/>
        <v>0.013301715003875845</v>
      </c>
      <c r="E29" s="48">
        <f t="shared" si="4"/>
        <v>0.013301715003875845</v>
      </c>
      <c r="F29" s="49">
        <f t="shared" si="7"/>
        <v>3019.4893058798166</v>
      </c>
      <c r="H29" s="91">
        <v>192.5</v>
      </c>
      <c r="I29" s="92">
        <v>174.75</v>
      </c>
      <c r="J29" s="92">
        <v>3928</v>
      </c>
      <c r="K29" s="92">
        <v>1047.4144</v>
      </c>
      <c r="L29" s="91">
        <v>2900</v>
      </c>
    </row>
    <row r="30" spans="1:12" ht="15.75">
      <c r="A30" s="32">
        <f t="shared" si="2"/>
        <v>197.5</v>
      </c>
      <c r="B30" s="45">
        <f t="shared" si="5"/>
        <v>1065.612</v>
      </c>
      <c r="C30" s="46">
        <f t="shared" si="5"/>
        <v>2673</v>
      </c>
      <c r="D30" s="47">
        <f t="shared" si="6"/>
        <v>0.01226051179495177</v>
      </c>
      <c r="E30" s="48">
        <f t="shared" si="4"/>
        <v>0.01226051179495177</v>
      </c>
      <c r="F30" s="49">
        <f t="shared" si="7"/>
        <v>2783.1361774540514</v>
      </c>
      <c r="H30" s="91">
        <v>197.5</v>
      </c>
      <c r="I30" s="92">
        <v>261.75</v>
      </c>
      <c r="J30" s="92">
        <v>3928</v>
      </c>
      <c r="K30" s="92">
        <v>1065.612</v>
      </c>
      <c r="L30" s="91">
        <v>2673</v>
      </c>
    </row>
    <row r="31" spans="1:12" ht="15.75">
      <c r="A31" s="32">
        <f t="shared" si="2"/>
        <v>202.5</v>
      </c>
      <c r="B31" s="45">
        <f t="shared" si="5"/>
        <v>1049.8183</v>
      </c>
      <c r="C31" s="46">
        <f t="shared" si="5"/>
        <v>2133</v>
      </c>
      <c r="D31" s="47">
        <f t="shared" si="6"/>
        <v>0.009783640725264544</v>
      </c>
      <c r="E31" s="48">
        <f t="shared" si="4"/>
        <v>0.009783640725264544</v>
      </c>
      <c r="F31" s="49">
        <f t="shared" si="7"/>
        <v>2220.8864446350517</v>
      </c>
      <c r="H31" s="91">
        <v>202.5</v>
      </c>
      <c r="I31" s="92">
        <v>189.6058</v>
      </c>
      <c r="J31" s="92">
        <v>3712</v>
      </c>
      <c r="K31" s="92">
        <v>1049.8183</v>
      </c>
      <c r="L31" s="91">
        <v>2133</v>
      </c>
    </row>
    <row r="32" spans="1:12" ht="15.75">
      <c r="A32" s="32">
        <f t="shared" si="2"/>
        <v>207.5</v>
      </c>
      <c r="B32" s="45">
        <f t="shared" si="5"/>
        <v>991.2786</v>
      </c>
      <c r="C32" s="46">
        <f t="shared" si="5"/>
        <v>1335</v>
      </c>
      <c r="D32" s="47">
        <f t="shared" si="6"/>
        <v>0.006123375700060087</v>
      </c>
      <c r="E32" s="48">
        <f t="shared" si="4"/>
        <v>0.006123375700060087</v>
      </c>
      <c r="F32" s="49">
        <f t="shared" si="7"/>
        <v>1390.0062839136397</v>
      </c>
      <c r="H32" s="91">
        <v>207.5</v>
      </c>
      <c r="I32" s="92">
        <v>208.5</v>
      </c>
      <c r="J32" s="92">
        <v>3547.106</v>
      </c>
      <c r="K32" s="92">
        <v>991.2786</v>
      </c>
      <c r="L32" s="91">
        <v>1335</v>
      </c>
    </row>
    <row r="33" spans="1:12" ht="15.75">
      <c r="A33" s="32">
        <f t="shared" si="2"/>
        <v>212.5</v>
      </c>
      <c r="B33" s="55">
        <f t="shared" si="5"/>
        <v>1005.6899</v>
      </c>
      <c r="C33" s="57">
        <f t="shared" si="5"/>
        <v>1388</v>
      </c>
      <c r="D33" s="56">
        <f t="shared" si="6"/>
        <v>0.006366476008751611</v>
      </c>
      <c r="E33" s="58">
        <f t="shared" si="4"/>
        <v>0.006366476008751611</v>
      </c>
      <c r="F33" s="59">
        <f t="shared" si="7"/>
        <v>1445.1900539866156</v>
      </c>
      <c r="H33" s="91">
        <v>212.5</v>
      </c>
      <c r="I33" s="92">
        <v>261.75</v>
      </c>
      <c r="J33" s="92">
        <v>3496</v>
      </c>
      <c r="K33" s="92">
        <v>1005.6899</v>
      </c>
      <c r="L33" s="91">
        <v>1388</v>
      </c>
    </row>
    <row r="34" spans="1:12" ht="12.75">
      <c r="A34" s="67" t="s">
        <v>32</v>
      </c>
      <c r="B34" s="43"/>
      <c r="C34" s="50">
        <f>SUM(C2:C33)</f>
        <v>218017</v>
      </c>
      <c r="D34" s="44"/>
      <c r="E34" s="51">
        <f>SUM(E2:E33)</f>
        <v>0.9999999999999999</v>
      </c>
      <c r="F34" s="60">
        <f>'User Input-Output'!B6</f>
        <v>227000</v>
      </c>
      <c r="H34" s="68" t="s">
        <v>24</v>
      </c>
      <c r="I34" s="61"/>
      <c r="J34" s="61"/>
      <c r="K34" s="69">
        <f>AVERAGE(K2:K33)</f>
        <v>979.5213687500001</v>
      </c>
      <c r="L34" s="62">
        <f>SUM(L2:L33)</f>
        <v>218017</v>
      </c>
    </row>
    <row r="35" spans="1:5" ht="13.5" customHeight="1">
      <c r="A35" s="1"/>
      <c r="B35" s="12"/>
      <c r="C35" s="7"/>
      <c r="D35" s="6"/>
      <c r="E35" s="13">
        <f>IF(E34&gt;1.0001,"Error!  Percentages must total 100%.",IF(E34&lt;0.9999,"Error!  Percentages must total 100%.",""))</f>
      </c>
    </row>
    <row r="36" spans="1:5" ht="12.75">
      <c r="A36" s="1"/>
      <c r="B36" s="12"/>
      <c r="C36" s="7"/>
      <c r="D36" s="6"/>
      <c r="E36" s="31"/>
    </row>
    <row r="37" spans="1:5" ht="12.75">
      <c r="A37" s="1"/>
      <c r="B37" s="8"/>
      <c r="C37" s="7"/>
      <c r="D37" s="6"/>
      <c r="E37" s="11"/>
    </row>
    <row r="38" ht="12.75"/>
    <row r="39" ht="12.75"/>
    <row r="40" spans="1:6" ht="12.75">
      <c r="A40" s="3"/>
      <c r="F40"/>
    </row>
    <row r="41" ht="12.75">
      <c r="F41"/>
    </row>
    <row r="42" ht="12.75">
      <c r="F42"/>
    </row>
    <row r="43" spans="1:6" ht="12.75">
      <c r="A43" s="3"/>
      <c r="F43"/>
    </row>
    <row r="44" spans="1:6" ht="12.75">
      <c r="A44" s="3"/>
      <c r="F44"/>
    </row>
    <row r="45" ht="12.75">
      <c r="F45"/>
    </row>
    <row r="46" spans="4:6" ht="12.75">
      <c r="D46" s="6"/>
      <c r="F46"/>
    </row>
    <row r="47" spans="1:6" ht="12.75">
      <c r="A47" s="3"/>
      <c r="D47" s="6"/>
      <c r="F47"/>
    </row>
    <row r="48" spans="4:6" ht="12.75">
      <c r="D48" s="6"/>
      <c r="F48"/>
    </row>
    <row r="49" spans="4:6" ht="12.75">
      <c r="D49" s="6"/>
      <c r="F49"/>
    </row>
    <row r="50" spans="4:6" ht="12.75">
      <c r="D50" s="6"/>
      <c r="F50"/>
    </row>
    <row r="51" spans="4:6" ht="12.75">
      <c r="D51" s="6"/>
      <c r="F51"/>
    </row>
    <row r="52" spans="4:6" ht="12.75">
      <c r="D52" s="6"/>
      <c r="F52"/>
    </row>
    <row r="53" spans="4:6" ht="12.75">
      <c r="D53" s="6"/>
      <c r="F53"/>
    </row>
    <row r="54" spans="4:6" ht="12.75">
      <c r="D54" s="6"/>
      <c r="F54"/>
    </row>
    <row r="55" spans="4:6" ht="12.75">
      <c r="D55" s="6"/>
      <c r="F55"/>
    </row>
    <row r="56" spans="4:6" ht="12.75">
      <c r="D56" s="6"/>
      <c r="F56"/>
    </row>
    <row r="57" spans="4:6" ht="12.75">
      <c r="D57" s="6"/>
      <c r="F57"/>
    </row>
    <row r="58" spans="4:6" ht="12.75">
      <c r="D58" s="6"/>
      <c r="F58"/>
    </row>
    <row r="59" spans="4:6" ht="12.75">
      <c r="D59" s="6"/>
      <c r="F59"/>
    </row>
    <row r="60" spans="4:6" ht="12.75">
      <c r="D60" s="6"/>
      <c r="F60"/>
    </row>
    <row r="61" spans="4:6" ht="12.75">
      <c r="D61" s="6"/>
      <c r="F61"/>
    </row>
    <row r="62" spans="4:6" ht="12.75">
      <c r="D62" s="6"/>
      <c r="F62"/>
    </row>
    <row r="63" spans="4:6" ht="12.75">
      <c r="D63" s="6"/>
      <c r="F63"/>
    </row>
    <row r="64" spans="4:6" ht="12.75">
      <c r="D64" s="6"/>
      <c r="F64"/>
    </row>
    <row r="65" spans="4:6" ht="12.75">
      <c r="D65" s="6"/>
      <c r="F65"/>
    </row>
  </sheetData>
  <sheetProtection/>
  <printOptions horizontalCentered="1"/>
  <pageMargins left="0" right="0" top="0" bottom="0.35" header="0" footer="0"/>
  <pageSetup cellComments="asDisplayed"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3"/>
  <sheetViews>
    <sheetView zoomScalePageLayoutView="0" workbookViewId="0" topLeftCell="A1">
      <selection activeCell="B27" sqref="B27"/>
    </sheetView>
  </sheetViews>
  <sheetFormatPr defaultColWidth="9.140625" defaultRowHeight="12.75"/>
  <cols>
    <col min="1" max="1" width="12.140625" style="0" customWidth="1"/>
    <col min="2" max="2" width="11.28125" style="0" bestFit="1" customWidth="1"/>
    <col min="3" max="3" width="16.421875" style="0" customWidth="1"/>
    <col min="4" max="4" width="13.8515625" style="0" customWidth="1"/>
  </cols>
  <sheetData>
    <row r="1" spans="1:4" ht="19.5" customHeight="1">
      <c r="A1" s="26" t="s">
        <v>7</v>
      </c>
      <c r="B1" s="26" t="s">
        <v>12</v>
      </c>
      <c r="C1" s="26" t="s">
        <v>13</v>
      </c>
      <c r="D1" s="81" t="s">
        <v>33</v>
      </c>
    </row>
    <row r="2" spans="1:4" ht="13.5" customHeight="1">
      <c r="A2" s="25">
        <f>'FY14 Cases &amp; Projection'!A2</f>
        <v>60</v>
      </c>
      <c r="B2" s="27">
        <f>'FY14 Cases &amp; Projection'!B2*(((215*High_Low_Ratio-60)/(High_Low_Ratio-1)-'FY14 Cases &amp; Projection'!A2)/Formula_Coefficient)*0.01</f>
        <v>253.61819928115972</v>
      </c>
      <c r="C2" s="38">
        <f>B2*'FY14 Cases &amp; Projection'!F2</f>
        <v>10086080.427629333</v>
      </c>
      <c r="D2" s="76">
        <f aca="true" t="shared" si="0" ref="D2:D33">(((215*High_Low_Ratio-60)/(High_Low_Ratio-1)-A2)/Formula_Coefficient)*0.01</f>
        <v>0.2642587909039396</v>
      </c>
    </row>
    <row r="3" spans="1:4" ht="13.5" customHeight="1">
      <c r="A3" s="25">
        <f>'FY14 Cases &amp; Projection'!A3</f>
        <v>62.5</v>
      </c>
      <c r="B3" s="40">
        <f>'FY14 Cases &amp; Projection'!B3*(((215*High_Low_Ratio-60)/(High_Low_Ratio-1)-'FY14 Cases &amp; Projection'!A3)/Formula_Coefficient)*0.01</f>
        <v>253.30874999933596</v>
      </c>
      <c r="C3" s="39">
        <f>B3*'FY14 Cases &amp; Projection'!F3</f>
        <v>1638125.6814735262</v>
      </c>
      <c r="D3" s="76">
        <f t="shared" si="0"/>
        <v>0.26106211198171453</v>
      </c>
    </row>
    <row r="4" spans="1:4" ht="13.5" customHeight="1">
      <c r="A4" s="25">
        <f>'FY14 Cases &amp; Projection'!A4</f>
        <v>67.5</v>
      </c>
      <c r="B4" s="40">
        <f>'FY14 Cases &amp; Projection'!B4*(((215*High_Low_Ratio-60)/(High_Low_Ratio-1)-'FY14 Cases &amp; Projection'!A4)/Formula_Coefficient)*0.01</f>
        <v>246.09693494238445</v>
      </c>
      <c r="C4" s="39">
        <f>B4*'FY14 Cases &amp; Projection'!F4</f>
        <v>1448507.2995365085</v>
      </c>
      <c r="D4" s="76">
        <f t="shared" si="0"/>
        <v>0.25466875413726436</v>
      </c>
    </row>
    <row r="5" spans="1:4" ht="13.5" customHeight="1">
      <c r="A5" s="25">
        <f>'FY14 Cases &amp; Projection'!A5</f>
        <v>72.5</v>
      </c>
      <c r="B5" s="40">
        <f>'FY14 Cases &amp; Projection'!B5*(((215*High_Low_Ratio-60)/(High_Low_Ratio-1)-'FY14 Cases &amp; Projection'!A5)/Formula_Coefficient)*0.01</f>
        <v>240.68338294957627</v>
      </c>
      <c r="C5" s="39">
        <f>B5*'FY14 Cases &amp; Projection'!F5</f>
        <v>1519640.2838531598</v>
      </c>
      <c r="D5" s="76">
        <f t="shared" si="0"/>
        <v>0.24827539629281423</v>
      </c>
    </row>
    <row r="6" spans="1:4" ht="13.5" customHeight="1">
      <c r="A6" s="25">
        <f>'FY14 Cases &amp; Projection'!A6</f>
        <v>77.5</v>
      </c>
      <c r="B6" s="40">
        <f>'FY14 Cases &amp; Projection'!B6*(((215*High_Low_Ratio-60)/(High_Low_Ratio-1)-'FY14 Cases &amp; Projection'!A6)/Formula_Coefficient)*0.01</f>
        <v>228.11735403919837</v>
      </c>
      <c r="C6" s="39">
        <f>B6*'FY14 Cases &amp; Projection'!F6</f>
        <v>1657627.8003164036</v>
      </c>
      <c r="D6" s="76">
        <f t="shared" si="0"/>
        <v>0.24188203844836406</v>
      </c>
    </row>
    <row r="7" spans="1:4" ht="13.5" customHeight="1">
      <c r="A7" s="25">
        <f>'FY14 Cases &amp; Projection'!A7</f>
        <v>82.5</v>
      </c>
      <c r="B7" s="40">
        <f>'FY14 Cases &amp; Projection'!B7*(((215*High_Low_Ratio-60)/(High_Low_Ratio-1)-'FY14 Cases &amp; Projection'!A7)/Formula_Coefficient)*0.01</f>
        <v>209.00673037999658</v>
      </c>
      <c r="C7" s="39">
        <f>B7*'FY14 Cases &amp; Projection'!F7</f>
        <v>3200950.198173431</v>
      </c>
      <c r="D7" s="76">
        <f t="shared" si="0"/>
        <v>0.2354886806039139</v>
      </c>
    </row>
    <row r="8" spans="1:4" ht="13.5" customHeight="1">
      <c r="A8" s="25">
        <f>'FY14 Cases &amp; Projection'!A8</f>
        <v>87.5</v>
      </c>
      <c r="B8" s="40">
        <f>'FY14 Cases &amp; Projection'!B8*(((215*High_Low_Ratio-60)/(High_Low_Ratio-1)-'FY14 Cases &amp; Projection'!A8)/Formula_Coefficient)*0.01</f>
        <v>201.20335667554772</v>
      </c>
      <c r="C8" s="39">
        <f>B8*'FY14 Cases &amp; Projection'!F8</f>
        <v>1851294.7719113282</v>
      </c>
      <c r="D8" s="76">
        <f t="shared" si="0"/>
        <v>0.22909532275946376</v>
      </c>
    </row>
    <row r="9" spans="1:4" ht="13.5" customHeight="1">
      <c r="A9" s="25">
        <f>'FY14 Cases &amp; Projection'!A9</f>
        <v>92.5</v>
      </c>
      <c r="B9" s="40">
        <f>'FY14 Cases &amp; Projection'!B9*(((215*High_Low_Ratio-60)/(High_Low_Ratio-1)-'FY14 Cases &amp; Projection'!A9)/Formula_Coefficient)*0.01</f>
        <v>196.3411341915603</v>
      </c>
      <c r="C9" s="39">
        <f>B9*'FY14 Cases &amp; Projection'!F9</f>
        <v>1803490.4493008046</v>
      </c>
      <c r="D9" s="76">
        <f t="shared" si="0"/>
        <v>0.2227019649150136</v>
      </c>
    </row>
    <row r="10" spans="1:4" ht="13.5" customHeight="1">
      <c r="A10" s="25">
        <f>'FY14 Cases &amp; Projection'!A10</f>
        <v>97.5</v>
      </c>
      <c r="B10" s="40">
        <f>'FY14 Cases &amp; Projection'!B10*(((215*High_Low_Ratio-60)/(High_Low_Ratio-1)-'FY14 Cases &amp; Projection'!A10)/Formula_Coefficient)*0.01</f>
        <v>200.34468577498458</v>
      </c>
      <c r="C10" s="39">
        <f>B10*'FY14 Cases &amp; Projection'!F10</f>
        <v>1649605.0810241736</v>
      </c>
      <c r="D10" s="76">
        <f t="shared" si="0"/>
        <v>0.21630860707056346</v>
      </c>
    </row>
    <row r="11" spans="1:4" ht="13.5" customHeight="1">
      <c r="A11" s="25">
        <f>'FY14 Cases &amp; Projection'!A11</f>
        <v>102.5</v>
      </c>
      <c r="B11" s="40">
        <f>'FY14 Cases &amp; Projection'!B11*(((215*High_Low_Ratio-60)/(High_Low_Ratio-1)-'FY14 Cases &amp; Projection'!A11)/Formula_Coefficient)*0.01</f>
        <v>200.44460788440338</v>
      </c>
      <c r="C11" s="39">
        <f>B11*'FY14 Cases &amp; Projection'!F11</f>
        <v>1548997.8886783852</v>
      </c>
      <c r="D11" s="76">
        <f t="shared" si="0"/>
        <v>0.2099152492261133</v>
      </c>
    </row>
    <row r="12" spans="1:4" ht="13.5" customHeight="1">
      <c r="A12" s="25">
        <f>'FY14 Cases &amp; Projection'!A12</f>
        <v>107.5</v>
      </c>
      <c r="B12" s="40">
        <f>'FY14 Cases &amp; Projection'!B12*(((215*High_Low_Ratio-60)/(High_Low_Ratio-1)-'FY14 Cases &amp; Projection'!A12)/Formula_Coefficient)*0.01</f>
        <v>192.00707051544967</v>
      </c>
      <c r="C12" s="39">
        <f>B12*'FY14 Cases &amp; Projection'!F12</f>
        <v>1493590.2017152326</v>
      </c>
      <c r="D12" s="76">
        <f t="shared" si="0"/>
        <v>0.20352189138166313</v>
      </c>
    </row>
    <row r="13" spans="1:4" ht="13.5" customHeight="1">
      <c r="A13" s="25">
        <f>'FY14 Cases &amp; Projection'!A13</f>
        <v>112.5</v>
      </c>
      <c r="B13" s="40">
        <f>'FY14 Cases &amp; Projection'!B13*(((215*High_Low_Ratio-60)/(High_Low_Ratio-1)-'FY14 Cases &amp; Projection'!A13)/Formula_Coefficient)*0.01</f>
        <v>188.39104784241627</v>
      </c>
      <c r="C13" s="39">
        <f>B13*'FY14 Cases &amp; Projection'!F13</f>
        <v>1507438.5988517224</v>
      </c>
      <c r="D13" s="76">
        <f t="shared" si="0"/>
        <v>0.19712853353721302</v>
      </c>
    </row>
    <row r="14" spans="1:4" ht="13.5" customHeight="1">
      <c r="A14" s="25">
        <f>'FY14 Cases &amp; Projection'!A14</f>
        <v>117.5</v>
      </c>
      <c r="B14" s="40">
        <f>'FY14 Cases &amp; Projection'!B14*(((215*High_Low_Ratio-60)/(High_Low_Ratio-1)-'FY14 Cases &amp; Projection'!A14)/Formula_Coefficient)*0.01</f>
        <v>181.87604176680838</v>
      </c>
      <c r="C14" s="39">
        <f>B14*'FY14 Cases &amp; Projection'!F14</f>
        <v>1413646.440214084</v>
      </c>
      <c r="D14" s="76">
        <f t="shared" si="0"/>
        <v>0.19073517569276285</v>
      </c>
    </row>
    <row r="15" spans="1:4" ht="13.5" customHeight="1">
      <c r="A15" s="25">
        <f>'FY14 Cases &amp; Projection'!A15</f>
        <v>122.5</v>
      </c>
      <c r="B15" s="40">
        <f>'FY14 Cases &amp; Projection'!B15*(((215*High_Low_Ratio-60)/(High_Low_Ratio-1)-'FY14 Cases &amp; Projection'!A15)/Formula_Coefficient)*0.01</f>
        <v>175.82852558226017</v>
      </c>
      <c r="C15" s="39">
        <f>B15*'FY14 Cases &amp; Projection'!F15</f>
        <v>1406734.6613352068</v>
      </c>
      <c r="D15" s="76">
        <f t="shared" si="0"/>
        <v>0.18434181784831272</v>
      </c>
    </row>
    <row r="16" spans="1:4" ht="13.5" customHeight="1">
      <c r="A16" s="25">
        <f>'FY14 Cases &amp; Projection'!A16</f>
        <v>127.5</v>
      </c>
      <c r="B16" s="40">
        <f>'FY14 Cases &amp; Projection'!B16*(((215*High_Low_Ratio-60)/(High_Low_Ratio-1)-'FY14 Cases &amp; Projection'!A16)/Formula_Coefficient)*0.01</f>
        <v>171.79094503204087</v>
      </c>
      <c r="C16" s="39">
        <f>B16*'FY14 Cases &amp; Projection'!F16</f>
        <v>1309323.1532542892</v>
      </c>
      <c r="D16" s="76">
        <f t="shared" si="0"/>
        <v>0.17794846000386255</v>
      </c>
    </row>
    <row r="17" spans="1:4" ht="13.5" customHeight="1">
      <c r="A17" s="25">
        <f>'FY14 Cases &amp; Projection'!A17</f>
        <v>132.5</v>
      </c>
      <c r="B17" s="40">
        <f>'FY14 Cases &amp; Projection'!B17*(((215*High_Low_Ratio-60)/(High_Low_Ratio-1)-'FY14 Cases &amp; Projection'!A17)/Formula_Coefficient)*0.01</f>
        <v>167.56883065012607</v>
      </c>
      <c r="C17" s="39">
        <f>B17*'FY14 Cases &amp; Projection'!F17</f>
        <v>1195315.9218958665</v>
      </c>
      <c r="D17" s="76">
        <f t="shared" si="0"/>
        <v>0.1715551021594124</v>
      </c>
    </row>
    <row r="18" spans="1:4" ht="13.5" customHeight="1">
      <c r="A18" s="25">
        <f>'FY14 Cases &amp; Projection'!A18</f>
        <v>137.5</v>
      </c>
      <c r="B18" s="40">
        <f>'FY14 Cases &amp; Projection'!B18*(((215*High_Low_Ratio-60)/(High_Low_Ratio-1)-'FY14 Cases &amp; Projection'!A18)/Formula_Coefficient)*0.01</f>
        <v>161.99067185646385</v>
      </c>
      <c r="C18" s="39">
        <f>B18*'FY14 Cases &amp; Projection'!F18</f>
        <v>1074903.3664588653</v>
      </c>
      <c r="D18" s="76">
        <f t="shared" si="0"/>
        <v>0.16516174431496225</v>
      </c>
    </row>
    <row r="19" spans="1:4" ht="13.5" customHeight="1">
      <c r="A19" s="25">
        <f>'FY14 Cases &amp; Projection'!A19</f>
        <v>142.5</v>
      </c>
      <c r="B19" s="40">
        <f>'FY14 Cases &amp; Projection'!B19*(((215*High_Low_Ratio-60)/(High_Low_Ratio-1)-'FY14 Cases &amp; Projection'!A19)/Formula_Coefficient)*0.01</f>
        <v>156.70838253289585</v>
      </c>
      <c r="C19" s="39">
        <f>B19*'FY14 Cases &amp; Projection'!F19</f>
        <v>969364.8735765609</v>
      </c>
      <c r="D19" s="76">
        <f t="shared" si="0"/>
        <v>0.1587683864705121</v>
      </c>
    </row>
    <row r="20" spans="1:4" ht="13.5" customHeight="1">
      <c r="A20" s="25">
        <f>'FY14 Cases &amp; Projection'!A20</f>
        <v>147.5</v>
      </c>
      <c r="B20" s="40">
        <f>'FY14 Cases &amp; Projection'!B20*(((215*High_Low_Ratio-60)/(High_Low_Ratio-1)-'FY14 Cases &amp; Projection'!A20)/Formula_Coefficient)*0.01</f>
        <v>152.2251677854082</v>
      </c>
      <c r="C20" s="39">
        <f>B20*'FY14 Cases &amp; Projection'!F20</f>
        <v>882196.1564641433</v>
      </c>
      <c r="D20" s="76">
        <f t="shared" si="0"/>
        <v>0.15237502862606195</v>
      </c>
    </row>
    <row r="21" spans="1:4" ht="13.5" customHeight="1">
      <c r="A21" s="70">
        <f>'FY14 Cases &amp; Projection'!A21</f>
        <v>152.5</v>
      </c>
      <c r="B21" s="71">
        <f>'FY14 Cases &amp; Projection'!B21*(((215*High_Low_Ratio-60)/(High_Low_Ratio-1)-'FY14 Cases &amp; Projection'!A21)/Formula_Coefficient)*0.01</f>
        <v>144.5160294051315</v>
      </c>
      <c r="C21" s="72">
        <f>B21*'FY14 Cases &amp; Projection'!F21</f>
        <v>803663.226551082</v>
      </c>
      <c r="D21" s="76">
        <f t="shared" si="0"/>
        <v>0.14598167078161178</v>
      </c>
    </row>
    <row r="22" spans="1:4" ht="13.5" customHeight="1">
      <c r="A22" s="70">
        <f>'FY14 Cases &amp; Projection'!A22</f>
        <v>157.5</v>
      </c>
      <c r="B22" s="71">
        <f>'FY14 Cases &amp; Projection'!B22*(((215*High_Low_Ratio-60)/(High_Low_Ratio-1)-'FY14 Cases &amp; Projection'!A22)/Formula_Coefficient)*0.01</f>
        <v>138.9100254069374</v>
      </c>
      <c r="C22" s="72">
        <f>B22*'FY14 Cases &amp; Projection'!F22</f>
        <v>724903.423797605</v>
      </c>
      <c r="D22" s="76">
        <f t="shared" si="0"/>
        <v>0.13958831293716165</v>
      </c>
    </row>
    <row r="23" spans="1:4" ht="13.5" customHeight="1">
      <c r="A23" s="70">
        <f>'FY14 Cases &amp; Projection'!A23</f>
        <v>162.5</v>
      </c>
      <c r="B23" s="71">
        <f>'FY14 Cases &amp; Projection'!B23*(((215*High_Low_Ratio-60)/(High_Low_Ratio-1)-'FY14 Cases &amp; Projection'!A23)/Formula_Coefficient)*0.01</f>
        <v>134.4949644934074</v>
      </c>
      <c r="C23" s="72">
        <f>B23*'FY14 Cases &amp; Projection'!F23</f>
        <v>667134.3081602653</v>
      </c>
      <c r="D23" s="76">
        <f t="shared" si="0"/>
        <v>0.1331949550927115</v>
      </c>
    </row>
    <row r="24" spans="1:4" ht="13.5" customHeight="1">
      <c r="A24" s="70">
        <f>'FY14 Cases &amp; Projection'!A24</f>
        <v>167.5</v>
      </c>
      <c r="B24" s="71">
        <f>'FY14 Cases &amp; Projection'!B24*(((215*High_Low_Ratio-60)/(High_Low_Ratio-1)-'FY14 Cases &amp; Projection'!A24)/Formula_Coefficient)*0.01</f>
        <v>128.58360349518978</v>
      </c>
      <c r="C24" s="72">
        <f>B24*'FY14 Cases &amp; Projection'!F24</f>
        <v>594836.217931226</v>
      </c>
      <c r="D24" s="76">
        <f t="shared" si="0"/>
        <v>0.12680159724826134</v>
      </c>
    </row>
    <row r="25" spans="1:4" ht="13.5" customHeight="1">
      <c r="A25" s="70">
        <f>'FY14 Cases &amp; Projection'!A25</f>
        <v>172.5</v>
      </c>
      <c r="B25" s="71">
        <f>'FY14 Cases &amp; Projection'!B25*(((215*High_Low_Ratio-60)/(High_Low_Ratio-1)-'FY14 Cases &amp; Projection'!A25)/Formula_Coefficient)*0.01</f>
        <v>122.70177554797498</v>
      </c>
      <c r="C25" s="72">
        <f>B25*'FY14 Cases &amp; Projection'!F25</f>
        <v>535048.3364638842</v>
      </c>
      <c r="D25" s="76">
        <f t="shared" si="0"/>
        <v>0.12040823940381119</v>
      </c>
    </row>
    <row r="26" spans="1:4" ht="13.5" customHeight="1">
      <c r="A26" s="70">
        <f>'FY14 Cases &amp; Projection'!A26</f>
        <v>177.5</v>
      </c>
      <c r="B26" s="71">
        <f>'FY14 Cases &amp; Projection'!B26*(((215*High_Low_Ratio-60)/(High_Low_Ratio-1)-'FY14 Cases &amp; Projection'!A26)/Formula_Coefficient)*0.01</f>
        <v>116.56790278723825</v>
      </c>
      <c r="C26" s="72">
        <f>B26*'FY14 Cases &amp; Projection'!F26</f>
        <v>467035.12484366575</v>
      </c>
      <c r="D26" s="76">
        <f t="shared" si="0"/>
        <v>0.11401488155936104</v>
      </c>
    </row>
    <row r="27" spans="1:4" ht="13.5" customHeight="1">
      <c r="A27" s="70">
        <f>'FY14 Cases &amp; Projection'!A27</f>
        <v>182.5</v>
      </c>
      <c r="B27" s="71">
        <f>'FY14 Cases &amp; Projection'!B27*(((215*High_Low_Ratio-60)/(High_Low_Ratio-1)-'FY14 Cases &amp; Projection'!A27)/Formula_Coefficient)*0.01</f>
        <v>111.78325879911887</v>
      </c>
      <c r="C27" s="72">
        <f>B27*'FY14 Cases &amp; Projection'!F27</f>
        <v>407943.7526185432</v>
      </c>
      <c r="D27" s="76">
        <f t="shared" si="0"/>
        <v>0.10762152371491089</v>
      </c>
    </row>
    <row r="28" spans="1:4" ht="13.5" customHeight="1">
      <c r="A28" s="70">
        <f>'FY14 Cases &amp; Projection'!A28</f>
        <v>187.5</v>
      </c>
      <c r="B28" s="71">
        <f>'FY14 Cases &amp; Projection'!B28*(((215*High_Low_Ratio-60)/(High_Low_Ratio-1)-'FY14 Cases &amp; Projection'!A28)/Formula_Coefficient)*0.01</f>
        <v>105.57827421086182</v>
      </c>
      <c r="C28" s="72">
        <f>B28*'FY14 Cases &amp; Projection'!F28</f>
        <v>366171.62664828164</v>
      </c>
      <c r="D28" s="76">
        <f t="shared" si="0"/>
        <v>0.10122816587046074</v>
      </c>
    </row>
    <row r="29" spans="1:4" ht="13.5" customHeight="1">
      <c r="A29" s="70">
        <f>'FY14 Cases &amp; Projection'!A29</f>
        <v>192.5</v>
      </c>
      <c r="B29" s="71">
        <f>'FY14 Cases &amp; Projection'!B29*(((215*High_Low_Ratio-60)/(High_Low_Ratio-1)-'FY14 Cases &amp; Projection'!A29)/Formula_Coefficient)*0.01</f>
        <v>99.33134354767907</v>
      </c>
      <c r="C29" s="72">
        <f>B29*'FY14 Cases &amp; Projection'!F29</f>
        <v>299929.9295808911</v>
      </c>
      <c r="D29" s="76">
        <f t="shared" si="0"/>
        <v>0.0948348080260106</v>
      </c>
    </row>
    <row r="30" spans="1:4" ht="13.5" customHeight="1">
      <c r="A30" s="70">
        <f>'FY14 Cases &amp; Projection'!A30</f>
        <v>197.5</v>
      </c>
      <c r="B30" s="71">
        <f>'FY14 Cases &amp; Projection'!B30*(((215*High_Low_Ratio-60)/(High_Low_Ratio-1)-'FY14 Cases &amp; Projection'!A30)/Formula_Coefficient)*0.01</f>
        <v>94.24427061087297</v>
      </c>
      <c r="C30" s="72">
        <f>B30*'FY14 Cases &amp; Projection'!F30</f>
        <v>262294.6390548902</v>
      </c>
      <c r="D30" s="76">
        <f t="shared" si="0"/>
        <v>0.08844145018156044</v>
      </c>
    </row>
    <row r="31" spans="1:4" ht="13.5" customHeight="1">
      <c r="A31" s="70">
        <f>'FY14 Cases &amp; Projection'!A31</f>
        <v>202.5</v>
      </c>
      <c r="B31" s="71">
        <f>'FY14 Cases &amp; Projection'!B31*(((215*High_Low_Ratio-60)/(High_Low_Ratio-1)-'FY14 Cases &amp; Projection'!A31)/Formula_Coefficient)*0.01</f>
        <v>86.13558881558815</v>
      </c>
      <c r="C31" s="72">
        <f>B31*'FY14 Cases &amp; Projection'!F31</f>
        <v>191297.3616011983</v>
      </c>
      <c r="D31" s="76">
        <f t="shared" si="0"/>
        <v>0.08204809233711029</v>
      </c>
    </row>
    <row r="32" spans="1:4" ht="13.5" customHeight="1">
      <c r="A32" s="70">
        <f>'FY14 Cases &amp; Projection'!A32</f>
        <v>207.5</v>
      </c>
      <c r="B32" s="71">
        <f>'FY14 Cases &amp; Projection'!B32*(((215*High_Low_Ratio-60)/(High_Low_Ratio-1)-'FY14 Cases &amp; Projection'!A32)/Formula_Coefficient)*0.01</f>
        <v>74.99491929125585</v>
      </c>
      <c r="C32" s="72">
        <f>B32*'FY14 Cases &amp; Projection'!F32</f>
        <v>104243.40907644188</v>
      </c>
      <c r="D32" s="76">
        <f t="shared" si="0"/>
        <v>0.07565473449266014</v>
      </c>
    </row>
    <row r="33" spans="1:4" ht="13.5" customHeight="1">
      <c r="A33" s="73">
        <f>'FY14 Cases &amp; Projection'!A33</f>
        <v>212.5</v>
      </c>
      <c r="B33" s="74">
        <f>'FY14 Cases &amp; Projection'!B33*(((215*High_Low_Ratio-60)/(High_Low_Ratio-1)-'FY14 Cases &amp; Projection'!A33)/Formula_Coefficient)*0.01</f>
        <v>69.65546695520064</v>
      </c>
      <c r="C33" s="75">
        <f>B33*'FY14 Cases &amp; Projection'!F33</f>
        <v>100665.38804944932</v>
      </c>
      <c r="D33" s="80">
        <f t="shared" si="0"/>
        <v>0.06926137664820999</v>
      </c>
    </row>
    <row r="34" spans="1:4" ht="13.5" customHeight="1">
      <c r="A34" s="9">
        <f>COUNT(A2:A33)</f>
        <v>32</v>
      </c>
      <c r="B34" s="77"/>
      <c r="C34" s="52">
        <f>SUM(C2:C33)</f>
        <v>43182000.000040434</v>
      </c>
      <c r="D34" s="79">
        <f>AVERAGE(D2:D33)</f>
        <v>0.1682585270208677</v>
      </c>
    </row>
    <row r="41" ht="12.75">
      <c r="C41" s="2"/>
    </row>
    <row r="42" ht="12.75">
      <c r="C42" s="2"/>
    </row>
    <row r="43" ht="12.75">
      <c r="C43" s="2"/>
    </row>
  </sheetData>
  <sheetProtection/>
  <printOptions/>
  <pageMargins left="0" right="0" top="0.25" bottom="0.35" header="0" footer="0"/>
  <pageSetup cellComments="asDisplayed"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Energy Center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Kotek, Jerry</dc:creator>
  <cp:keywords/>
  <dc:description/>
  <cp:lastModifiedBy>Haskin, Kristine M</cp:lastModifiedBy>
  <cp:lastPrinted>2014-08-07T12:57:12Z</cp:lastPrinted>
  <dcterms:created xsi:type="dcterms:W3CDTF">1999-03-02T20:49:30Z</dcterms:created>
  <dcterms:modified xsi:type="dcterms:W3CDTF">2014-08-20T13:21:54Z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-2000776140</vt:i4>
  </property>
  <property fmtid="{D5CDD505-2E9C-101B-9397-08002B2CF9AE}" pid="3" name="_NewReviewCycle">
    <vt:lpwstr/>
  </property>
  <property fmtid="{D5CDD505-2E9C-101B-9397-08002B2CF9AE}" pid="4" name="_EmailSubject">
    <vt:lpwstr>We need more Data Ferret Data</vt:lpwstr>
  </property>
  <property fmtid="{D5CDD505-2E9C-101B-9397-08002B2CF9AE}" pid="5" name="_AuthorEmail">
    <vt:lpwstr>jane.blank@wisconsin.gov</vt:lpwstr>
  </property>
  <property fmtid="{D5CDD505-2E9C-101B-9397-08002B2CF9AE}" pid="6" name="_AuthorEmailDisplayName">
    <vt:lpwstr>Blank, Jane M - DOA</vt:lpwstr>
  </property>
  <property fmtid="{D5CDD505-2E9C-101B-9397-08002B2CF9AE}" pid="7" name="_ReviewingToolsShownOnce">
    <vt:lpwstr/>
  </property>
</Properties>
</file>