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491" windowWidth="6105" windowHeight="5220" activeTab="0"/>
  </bookViews>
  <sheets>
    <sheet name="States" sheetId="1" r:id="rId1"/>
    <sheet name="Tribes" sheetId="2" r:id="rId2"/>
  </sheets>
  <definedNames>
    <definedName name="_xlnm.Print_Area" localSheetId="0">'States'!$A$1:$E$74</definedName>
    <definedName name="_xlnm.Print_Area">'Tribes'!$A$1:$I$215</definedName>
    <definedName name="Print_Area_MI" localSheetId="1">'Tribes'!$A$1:$I$215</definedName>
    <definedName name="PRINT_AREA_MI">'Tribes'!$A$1:$I$215</definedName>
    <definedName name="_xlnm.Print_Titles" localSheetId="0">'States'!$1:$8</definedName>
    <definedName name="_xlnm.Print_Titles" localSheetId="1">'Tribes'!$1:$11</definedName>
  </definedNames>
  <calcPr fullCalcOnLoad="1" fullPrecision="0"/>
</workbook>
</file>

<file path=xl/sharedStrings.xml><?xml version="1.0" encoding="utf-8"?>
<sst xmlns="http://schemas.openxmlformats.org/spreadsheetml/2006/main" count="577" uniqueCount="264">
  <si>
    <t xml:space="preserve">Gross  </t>
  </si>
  <si>
    <t>State</t>
  </si>
  <si>
    <t>Alabama</t>
  </si>
  <si>
    <t xml:space="preserve">Alaska </t>
  </si>
  <si>
    <t>Arizona</t>
  </si>
  <si>
    <t>Arkansas</t>
  </si>
  <si>
    <t xml:space="preserve">California 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</si>
  <si>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</si>
  <si>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</si>
  <si>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</si>
  <si>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</si>
  <si>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</si>
  <si>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</si>
  <si>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</si>
  <si>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</si>
  <si>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</si>
  <si>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</si>
  <si>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</si>
  <si>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</si>
  <si>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</si>
  <si>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 xml:space="preserve">Louisiana 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</si>
  <si>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</si>
  <si>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</si>
  <si>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</si>
  <si>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</si>
  <si>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</si>
  <si>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</si>
  <si>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</si>
  <si>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</si>
  <si>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</si>
  <si>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</si>
  <si>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</si>
  <si>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</si>
  <si>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 xml:space="preserve">New Mexico 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</si>
  <si>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</si>
  <si>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</si>
  <si>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</si>
  <si>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</si>
  <si>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</si>
  <si>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</si>
  <si>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</si>
  <si>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</si>
  <si>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</si>
  <si>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</si>
  <si>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</si>
  <si>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</si>
  <si>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</si>
  <si>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</si>
  <si>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</si>
  <si>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</si>
  <si>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</si>
  <si>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</si>
  <si>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</si>
  <si>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</si>
  <si>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</t>
  </si>
  <si>
    <t xml:space="preserve">    American Samoa</t>
  </si>
  <si>
    <t xml:space="preserve">    Guam</t>
  </si>
  <si>
    <t xml:space="preserve">    Northern Marianas</t>
  </si>
  <si>
    <t xml:space="preserve">    Puerto Rico</t>
  </si>
  <si>
    <t xml:space="preserve"> T &amp; TA</t>
  </si>
  <si>
    <t xml:space="preserve">    Virgin Islands</t>
  </si>
  <si>
    <t xml:space="preserve"> Territories</t>
  </si>
  <si>
    <t>Total to States</t>
  </si>
  <si>
    <t>SOURCE FOR ALLOTMENT CALCULATIONS</t>
  </si>
  <si>
    <t xml:space="preserve">    A=State/Tribe Agreement On:</t>
  </si>
  <si>
    <t>C=Census Count of Eligible Households</t>
  </si>
  <si>
    <t xml:space="preserve">     TRIBAL</t>
  </si>
  <si>
    <t xml:space="preserve">       STATE</t>
  </si>
  <si>
    <t xml:space="preserve">    STATE</t>
  </si>
  <si>
    <t xml:space="preserve">  TRIBAL </t>
  </si>
  <si>
    <t xml:space="preserve">   STATE GROSS</t>
  </si>
  <si>
    <t xml:space="preserve">  PERCENTAGE OF</t>
  </si>
  <si>
    <t xml:space="preserve">     GRANT</t>
  </si>
  <si>
    <t xml:space="preserve">      TRIBAL</t>
  </si>
  <si>
    <t xml:space="preserve">    STATE NET</t>
  </si>
  <si>
    <t>TRIBES</t>
  </si>
  <si>
    <t xml:space="preserve">    HHLD #</t>
  </si>
  <si>
    <t xml:space="preserve">  HHLD #</t>
  </si>
  <si>
    <t>SOURCE</t>
  </si>
  <si>
    <t xml:space="preserve">   ALLOTMENT</t>
  </si>
  <si>
    <t xml:space="preserve">  STATE SHARE</t>
  </si>
  <si>
    <t xml:space="preserve">     AMOUNT</t>
  </si>
  <si>
    <t xml:space="preserve">     SET-ASIDE</t>
  </si>
  <si>
    <t xml:space="preserve">    ALLOTMENT</t>
  </si>
  <si>
    <t xml:space="preserve">  Ma-Chis Lower Creek Indian Tribe</t>
  </si>
  <si>
    <t>C</t>
  </si>
  <si>
    <t xml:space="preserve">  Mowa Band of Choctaw Indians </t>
  </si>
  <si>
    <t>A/%</t>
  </si>
  <si>
    <t xml:space="preserve">  Poarch Band of Creek Indians </t>
  </si>
  <si>
    <t>A/#</t>
  </si>
  <si>
    <t>Alaska</t>
  </si>
  <si>
    <t xml:space="preserve">  Aleutian/Pribilof Islands Association</t>
  </si>
  <si>
    <t xml:space="preserve">  Assn. of Village Council Presidents</t>
  </si>
  <si>
    <t xml:space="preserve">  Kenaitze Indian Tribe</t>
  </si>
  <si>
    <t xml:space="preserve">  Kuskokwim Native Association</t>
  </si>
  <si>
    <t xml:space="preserve">  Orutsararmuit Native Council</t>
  </si>
  <si>
    <t xml:space="preserve">  Seldovia Village</t>
  </si>
  <si>
    <t xml:space="preserve">  Tanana Chiefs Conference</t>
  </si>
  <si>
    <t xml:space="preserve">  Tlingit &amp; Haida Central Council</t>
  </si>
  <si>
    <t xml:space="preserve">  Cocopah Tribe</t>
  </si>
  <si>
    <t xml:space="preserve">  Colorado River Indian Tribes</t>
  </si>
  <si>
    <t xml:space="preserve">  Gila River Pima-Maricopa Community</t>
  </si>
  <si>
    <t xml:space="preserve">  Navajo Nation</t>
  </si>
  <si>
    <t xml:space="preserve">  Pascua Yaqui Tribe</t>
  </si>
  <si>
    <t xml:space="preserve">  Quechan Tribe (Fort Yuma)</t>
  </si>
  <si>
    <t xml:space="preserve">  San Carlos Apache Tribe</t>
  </si>
  <si>
    <t>California</t>
  </si>
  <si>
    <t xml:space="preserve">  Berry Creek Rancheria </t>
  </si>
  <si>
    <t xml:space="preserve">  Colorado River Indian Tribes (Ariz.)</t>
  </si>
  <si>
    <t xml:space="preserve">  Coyote Valley Pomo Band</t>
  </si>
  <si>
    <t xml:space="preserve">  Enterprise Rancheria</t>
  </si>
  <si>
    <t xml:space="preserve">  Hoopa Valley Tribe</t>
  </si>
  <si>
    <t xml:space="preserve">  Inter-Tribal Council of California</t>
  </si>
  <si>
    <t xml:space="preserve">  Karuk Tribe</t>
  </si>
  <si>
    <t xml:space="preserve">  Mooretown Rancheria</t>
  </si>
  <si>
    <t xml:space="preserve">  Pinoleville Rancheria</t>
  </si>
  <si>
    <t xml:space="preserve">  Pit River Tribe</t>
  </si>
  <si>
    <t xml:space="preserve">  Quechan Tribe (Ariz.)</t>
  </si>
  <si>
    <t xml:space="preserve">  Redding Rancheria</t>
  </si>
  <si>
    <t xml:space="preserve">  Rincon Band</t>
  </si>
  <si>
    <t xml:space="preserve">  Riverside-San Bernardino Indian Health</t>
  </si>
  <si>
    <t xml:space="preserve">  Round Valley Indian Tribes (Covelo)</t>
  </si>
  <si>
    <t xml:space="preserve">  San Pasqual Band</t>
  </si>
  <si>
    <t xml:space="preserve">  Sherwood Valley Rancheria</t>
  </si>
  <si>
    <t xml:space="preserve">  S. Cal. Tribal Chairmen's Association</t>
  </si>
  <si>
    <t xml:space="preserve">  Southern Indian Health Council</t>
  </si>
  <si>
    <t xml:space="preserve">  Yurok Tribe</t>
  </si>
  <si>
    <t xml:space="preserve">  Southern Ute Tribe</t>
  </si>
  <si>
    <t>A/$</t>
  </si>
  <si>
    <t xml:space="preserve">  Poarch Band of Creek Indians (Ala.)</t>
  </si>
  <si>
    <t xml:space="preserve">  Nez Perce Tribe</t>
  </si>
  <si>
    <t xml:space="preserve">  Shoshone-Bannock Tribes (Fort Hall) </t>
  </si>
  <si>
    <t xml:space="preserve">  Pokagon Band (Mich.)</t>
  </si>
  <si>
    <t xml:space="preserve">  United Tribes of Kansas &amp; SE Nebraska</t>
  </si>
  <si>
    <t xml:space="preserve">  Aroostook Band of Micmac Indians</t>
  </si>
  <si>
    <t xml:space="preserve">  Houlton Band of Maliseet Indians</t>
  </si>
  <si>
    <t xml:space="preserve">  Passamaquoddy Tribe--Indian Township</t>
  </si>
  <si>
    <t xml:space="preserve">  Passamaquoddy Tribe--Pleasant Point</t>
  </si>
  <si>
    <t xml:space="preserve">  Penobscot Tribe</t>
  </si>
  <si>
    <t xml:space="preserve">  Mashpee Wampanoag Tribe</t>
  </si>
  <si>
    <t xml:space="preserve">  Grand Traverse Ottawa/Chippewa Band</t>
  </si>
  <si>
    <t xml:space="preserve">  Inter-Tribal Council of Michigan </t>
  </si>
  <si>
    <t xml:space="preserve">  Pokagon Band of Potawatomi Indians</t>
  </si>
  <si>
    <t xml:space="preserve">  Sault Ste. Marie Chippewa Tribe</t>
  </si>
  <si>
    <t xml:space="preserve">  Mississippi Band of Choctaw Indians </t>
  </si>
  <si>
    <t xml:space="preserve">  Assiniboine &amp; Sioux Tribes (Fort Peck)</t>
  </si>
  <si>
    <t xml:space="preserve">  Blackfeet Tribe</t>
  </si>
  <si>
    <t xml:space="preserve">  Chippewa-Cree Tribe (Rocky Boy's)</t>
  </si>
  <si>
    <t xml:space="preserve">  Confederated Salish &amp; Kootenai Tribes </t>
  </si>
  <si>
    <t xml:space="preserve">  Fort Belknap Community</t>
  </si>
  <si>
    <t xml:space="preserve">  Northern Cheyenne Tribe</t>
  </si>
  <si>
    <t xml:space="preserve">  United Tribes of Ks. &amp; SE Neb. (Kansas)</t>
  </si>
  <si>
    <t xml:space="preserve">  Powhatan Renape Nation</t>
  </si>
  <si>
    <t>New Mexico</t>
  </si>
  <si>
    <t xml:space="preserve">  Five Sandoval Indian Pueblos</t>
  </si>
  <si>
    <t xml:space="preserve">  Jicarilla Apache Tribe</t>
  </si>
  <si>
    <t xml:space="preserve">  Navajo Nation (Ariz.)</t>
  </si>
  <si>
    <t xml:space="preserve">  Pueblo of Zuni</t>
  </si>
  <si>
    <t xml:space="preserve">  Seneca Nation</t>
  </si>
  <si>
    <t xml:space="preserve">  St. Regis Mohawk Band</t>
  </si>
  <si>
    <t xml:space="preserve">  Lumbee Regional Development Association</t>
  </si>
  <si>
    <t xml:space="preserve">  Spirit Lake Tribe (Fort Totten)</t>
  </si>
  <si>
    <t xml:space="preserve">  Standing Rock Sioux Tribe</t>
  </si>
  <si>
    <t xml:space="preserve">  Three Affiliated Tribes (Fort Berthold)</t>
  </si>
  <si>
    <t xml:space="preserve">  Turtle Mountain Chippewa Band</t>
  </si>
  <si>
    <t xml:space="preserve">  Absentee Shawnee Tribe</t>
  </si>
  <si>
    <t xml:space="preserve">  Caddo Indian Tribe</t>
  </si>
  <si>
    <t xml:space="preserve">  Cherokee Nation of Oklahoma</t>
  </si>
  <si>
    <t xml:space="preserve">  Cheyenne-Arapaho Tribes</t>
  </si>
  <si>
    <t xml:space="preserve">  Chickasaw Nation of Oklahoma</t>
  </si>
  <si>
    <t xml:space="preserve">  Choctaw Nation of Oklahoma</t>
  </si>
  <si>
    <t xml:space="preserve">  Citizen Band Potawatomi Tribe </t>
  </si>
  <si>
    <t xml:space="preserve">  Comanche Indian Tribe</t>
  </si>
  <si>
    <t xml:space="preserve">  Delaware Tribe of Indians</t>
  </si>
  <si>
    <t xml:space="preserve">  Kickapoo Tribe of Oklahoma</t>
  </si>
  <si>
    <t xml:space="preserve">  Kiowa Indian Tribe</t>
  </si>
  <si>
    <t xml:space="preserve">  Miami Tribe</t>
  </si>
  <si>
    <t xml:space="preserve">  Modoc Tribe of Oklahoma</t>
  </si>
  <si>
    <t xml:space="preserve">  Muscogee (Creek) Nation</t>
  </si>
  <si>
    <t xml:space="preserve">  Osage Tribe</t>
  </si>
  <si>
    <t xml:space="preserve">  Otoe-Missouria Tribe</t>
  </si>
  <si>
    <t xml:space="preserve">  Pawnee Tribe</t>
  </si>
  <si>
    <t xml:space="preserve">  Ponca Tribe</t>
  </si>
  <si>
    <t xml:space="preserve">  Sac &amp; Fox Tribe of Oklahoma</t>
  </si>
  <si>
    <t xml:space="preserve">  Seminole Nation of Oklahoma</t>
  </si>
  <si>
    <t xml:space="preserve">  Seneca-Cayuga Tribe</t>
  </si>
  <si>
    <t xml:space="preserve">  Tonkawa Tribe </t>
  </si>
  <si>
    <t xml:space="preserve">  Wichita &amp; Affiliated Tribes</t>
  </si>
  <si>
    <t xml:space="preserve">         </t>
  </si>
  <si>
    <t xml:space="preserve">  Cow Creek Band of Umpqua Indians</t>
  </si>
  <si>
    <t xml:space="preserve">  Klamath Tribe</t>
  </si>
  <si>
    <t xml:space="preserve">  Narragansett Indian Tribe</t>
  </si>
  <si>
    <t xml:space="preserve">  Cheyenne River Sioux Tribe</t>
  </si>
  <si>
    <t xml:space="preserve">  Lower Brule Sioux Tribe</t>
  </si>
  <si>
    <t xml:space="preserve">  Oglala Sioux Tribe (Pine Ridge)</t>
  </si>
  <si>
    <t xml:space="preserve">  Rosebud Sioux Tribe</t>
  </si>
  <si>
    <t xml:space="preserve">  Sisseton-Wahpeton Sioux Tribe</t>
  </si>
  <si>
    <t xml:space="preserve">  Standing Rock Sioux Tribe (N. Dak.)</t>
  </si>
  <si>
    <t xml:space="preserve">  Yankton Sioux Tribe</t>
  </si>
  <si>
    <t xml:space="preserve">  Paiute Indian Tribe of Utah</t>
  </si>
  <si>
    <t xml:space="preserve">  Ute Tribe (Uintah &amp; Ouray)</t>
  </si>
  <si>
    <t xml:space="preserve">  Colville Confederated Tribes</t>
  </si>
  <si>
    <t xml:space="preserve">  Jamestown S'Klallam Tribe</t>
  </si>
  <si>
    <t xml:space="preserve">  Kalispel Indian Community</t>
  </si>
  <si>
    <t xml:space="preserve">  Lower Elwha Klallam Tribe</t>
  </si>
  <si>
    <t xml:space="preserve">  Lummi Indian Tribe</t>
  </si>
  <si>
    <t xml:space="preserve">  Makah Indian Tribe</t>
  </si>
  <si>
    <t xml:space="preserve">  Muckleshoot Indian Tribe</t>
  </si>
  <si>
    <t xml:space="preserve">  Nooksack Indian Tribe</t>
  </si>
  <si>
    <t xml:space="preserve">  Port Gamble S'Klallam Tribe </t>
  </si>
  <si>
    <t xml:space="preserve">  Puyallup Tribe</t>
  </si>
  <si>
    <t xml:space="preserve">  Quileute Tribe</t>
  </si>
  <si>
    <t xml:space="preserve">  Quinault Tribe</t>
  </si>
  <si>
    <t xml:space="preserve">  Small Tribes Organization of W. Wash.</t>
  </si>
  <si>
    <t xml:space="preserve">  South Puget Intertribal Planning Agency</t>
  </si>
  <si>
    <t xml:space="preserve">  Spokane Tribe</t>
  </si>
  <si>
    <t xml:space="preserve">  Suquamish Indian Tribe</t>
  </si>
  <si>
    <t xml:space="preserve">  Swinomish Indians</t>
  </si>
  <si>
    <t xml:space="preserve">  Tulalip Tribes</t>
  </si>
  <si>
    <t xml:space="preserve">  Yakama Indian Nation</t>
  </si>
  <si>
    <t xml:space="preserve">  Pala Band</t>
  </si>
  <si>
    <t xml:space="preserve">  Salt River Pima Maricopa Ind. Cmty.</t>
  </si>
  <si>
    <t xml:space="preserve">  Redwood Valley</t>
  </si>
  <si>
    <t xml:space="preserve">  Little River Band of Ottawa Indians</t>
  </si>
  <si>
    <t xml:space="preserve">  N. Cal. Ind. Devel. Council, Inc.(NCIDC)</t>
  </si>
  <si>
    <t xml:space="preserve">  White Mountain Apache Tribe</t>
  </si>
  <si>
    <t xml:space="preserve">  Hopland Band</t>
  </si>
  <si>
    <t xml:space="preserve">  Eastern Shawnee Tribe of Oklahoma</t>
  </si>
  <si>
    <t xml:space="preserve">  Ottawa Tribe of Oklahoma</t>
  </si>
  <si>
    <t xml:space="preserve">  Apache Tribe of Oklahoma</t>
  </si>
  <si>
    <t>LOW INCOME HOME ENERGY ASSISTANCE PROGRAM (LIHEAP) - FY 2003 ALLOTMENTS FOR TRIBES FUNDED DIRECTLY BY HHS</t>
  </si>
  <si>
    <t xml:space="preserve">  Quapaw Tribe</t>
  </si>
  <si>
    <t xml:space="preserve">  Northern Arapaho Nation</t>
  </si>
  <si>
    <t xml:space="preserve">  Alabama-Quassarte Tribal Town</t>
  </si>
  <si>
    <t xml:space="preserve">  United Keetowah</t>
  </si>
  <si>
    <t>Leveraging/REACH</t>
  </si>
  <si>
    <t xml:space="preserve"> Net</t>
  </si>
  <si>
    <t>Allotments</t>
  </si>
  <si>
    <t>Tribal</t>
  </si>
  <si>
    <t>Set-Aside</t>
  </si>
  <si>
    <t xml:space="preserve"> Difference</t>
  </si>
  <si>
    <t>Difference</t>
  </si>
  <si>
    <t xml:space="preserve">  Quartz Valley</t>
  </si>
  <si>
    <t xml:space="preserve">  United Auburn</t>
  </si>
  <si>
    <t xml:space="preserve">  Samish Tribe</t>
  </si>
  <si>
    <t xml:space="preserve">  Shawnee Tribe</t>
  </si>
  <si>
    <t xml:space="preserve">Appropriation </t>
  </si>
  <si>
    <t>90%</t>
  </si>
  <si>
    <t>Totals for States w/Tribes funded directly by HHS</t>
  </si>
  <si>
    <t>LIMITATION</t>
  </si>
  <si>
    <t>AWARDED</t>
  </si>
  <si>
    <t>TO DATE</t>
  </si>
  <si>
    <t>TO AWARD</t>
  </si>
  <si>
    <t>2nd. QTR.</t>
  </si>
  <si>
    <t>D=Documented Tribal Eligible Household Number</t>
  </si>
  <si>
    <t xml:space="preserve">    #=Household Numbers</t>
  </si>
  <si>
    <t xml:space="preserve">    %=Percent of State Allotment</t>
  </si>
  <si>
    <t xml:space="preserve">    $=Dollar Amount</t>
  </si>
  <si>
    <t>DEA/OCS/ACF/DHHS (1/24/03)</t>
  </si>
  <si>
    <t>$200 Million Contingency Funds</t>
  </si>
  <si>
    <r>
      <t xml:space="preserve">LOW INCOME HOME ENERGY ASSISTANCE PROGRAM (LIHEAP) - FY 2003 </t>
    </r>
    <r>
      <rPr>
        <b/>
        <sz val="10"/>
        <rFont val="Arial"/>
        <family val="2"/>
      </rPr>
      <t>STATE NET ALLOTMENTS</t>
    </r>
    <r>
      <rPr>
        <sz val="10"/>
        <rFont val="Arial"/>
        <family val="2"/>
      </rPr>
      <t xml:space="preserve">   </t>
    </r>
  </si>
  <si>
    <t>Territories</t>
  </si>
  <si>
    <t xml:space="preserve">       Emergency Contingency Funds</t>
  </si>
  <si>
    <t xml:space="preserve">    DEA/OCS/ACF/DHHS (1/24/03)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</si>
</sst>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_)"/>
    <numFmt numFmtId="165" formatCode="dd\-mmm\-yy_)"/>
    <numFmt numFmtId="166" formatCode="0.000000%"/>
    <numFmt numFmtId="167" formatCode="General_)"/>
    <numFmt numFmtId="168" formatCode="0.0000%"/>
    <numFmt numFmtId="169" formatCode="0.00000000%"/>
    <numFmt numFmtId="170" formatCode="&quot;$&quot;#,##0"/>
  </numFmts>
  <fonts count="1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37" fontId="0" fillId="0" borderId="0" xfId="0" applyAlignment="1">
      <alignment/>
    </xf>
    <xf numFmtId="37" fontId="5" fillId="0" borderId="0" xfId="0" applyNumberFormat="1" applyFont="1" applyAlignment="1" applyProtection="1">
      <alignment horizontal="left"/>
      <protection/>
    </xf>
    <xf numFmtId="37" fontId="6" fillId="0" borderId="0" xfId="0" applyFont="1" applyAlignment="1">
      <alignment/>
    </xf>
    <xf numFmtId="37" fontId="7" fillId="0" borderId="0" xfId="0" applyFont="1" applyAlignment="1">
      <alignment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>
      <alignment horizontal="center"/>
    </xf>
    <xf numFmtId="37" fontId="4" fillId="0" borderId="0" xfId="0" applyNumberFormat="1" applyFont="1" applyAlignment="1" applyProtection="1">
      <alignment horizontal="left"/>
      <protection/>
    </xf>
    <xf numFmtId="37" fontId="4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37" fontId="1" fillId="0" borderId="0" xfId="0" applyFont="1" applyAlignment="1">
      <alignment/>
    </xf>
    <xf numFmtId="165" fontId="4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4" fillId="0" borderId="0" xfId="0" applyFont="1" applyAlignment="1">
      <alignment horizontal="right"/>
    </xf>
    <xf numFmtId="164" fontId="4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5" fontId="4" fillId="0" borderId="0" xfId="0" applyNumberFormat="1" applyFont="1" applyAlignment="1" applyProtection="1">
      <alignment/>
      <protection/>
    </xf>
    <xf numFmtId="2" fontId="4" fillId="0" borderId="0" xfId="19" applyNumberFormat="1" applyFont="1" applyAlignment="1">
      <alignment horizontal="center"/>
    </xf>
    <xf numFmtId="5" fontId="4" fillId="0" borderId="0" xfId="0" applyNumberFormat="1" applyFont="1" applyAlignment="1">
      <alignment/>
    </xf>
    <xf numFmtId="37" fontId="1" fillId="0" borderId="0" xfId="0" applyFont="1" applyAlignment="1">
      <alignment horizontal="center"/>
    </xf>
    <xf numFmtId="5" fontId="1" fillId="0" borderId="0" xfId="0" applyNumberFormat="1" applyFont="1" applyAlignment="1">
      <alignment/>
    </xf>
    <xf numFmtId="37" fontId="3" fillId="0" borderId="1" xfId="0" applyFont="1" applyBorder="1" applyAlignment="1">
      <alignment/>
    </xf>
    <xf numFmtId="37" fontId="4" fillId="0" borderId="1" xfId="0" applyFont="1" applyBorder="1" applyAlignment="1">
      <alignment/>
    </xf>
    <xf numFmtId="37" fontId="4" fillId="0" borderId="1" xfId="0" applyNumberFormat="1" applyFont="1" applyBorder="1" applyAlignment="1" applyProtection="1">
      <alignment horizontal="left"/>
      <protection/>
    </xf>
    <xf numFmtId="164" fontId="4" fillId="0" borderId="1" xfId="0" applyNumberFormat="1" applyFont="1" applyBorder="1" applyAlignment="1" applyProtection="1">
      <alignment/>
      <protection/>
    </xf>
    <xf numFmtId="5" fontId="4" fillId="0" borderId="1" xfId="0" applyNumberFormat="1" applyFont="1" applyBorder="1" applyAlignment="1" applyProtection="1">
      <alignment/>
      <protection/>
    </xf>
    <xf numFmtId="2" fontId="4" fillId="0" borderId="1" xfId="19" applyNumberFormat="1" applyFont="1" applyBorder="1" applyAlignment="1">
      <alignment horizontal="center"/>
    </xf>
    <xf numFmtId="5" fontId="4" fillId="0" borderId="1" xfId="0" applyNumberFormat="1" applyFont="1" applyBorder="1" applyAlignment="1">
      <alignment/>
    </xf>
    <xf numFmtId="37" fontId="4" fillId="0" borderId="0" xfId="0" applyFont="1" applyBorder="1" applyAlignment="1">
      <alignment/>
    </xf>
    <xf numFmtId="5" fontId="4" fillId="0" borderId="0" xfId="0" applyNumberFormat="1" applyFont="1" applyAlignment="1">
      <alignment/>
    </xf>
    <xf numFmtId="9" fontId="4" fillId="0" borderId="0" xfId="19" applyFont="1" applyAlignment="1">
      <alignment horizontal="center"/>
    </xf>
    <xf numFmtId="9" fontId="4" fillId="0" borderId="1" xfId="19" applyFont="1" applyBorder="1" applyAlignment="1">
      <alignment horizontal="center"/>
    </xf>
    <xf numFmtId="166" fontId="4" fillId="0" borderId="0" xfId="0" applyNumberFormat="1" applyFont="1" applyAlignment="1">
      <alignment/>
    </xf>
    <xf numFmtId="37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167" fontId="4" fillId="0" borderId="0" xfId="0" applyNumberFormat="1" applyFont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right"/>
      <protection/>
    </xf>
    <xf numFmtId="168" fontId="4" fillId="0" borderId="0" xfId="0" applyNumberFormat="1" applyFont="1" applyAlignment="1" applyProtection="1">
      <alignment horizontal="right"/>
      <protection/>
    </xf>
    <xf numFmtId="5" fontId="4" fillId="0" borderId="0" xfId="0" applyNumberFormat="1" applyFont="1" applyAlignment="1" applyProtection="1">
      <alignment horizontal="left"/>
      <protection/>
    </xf>
    <xf numFmtId="5" fontId="4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 horizontal="center"/>
    </xf>
    <xf numFmtId="5" fontId="5" fillId="0" borderId="0" xfId="0" applyNumberFormat="1" applyFont="1" applyAlignment="1" applyProtection="1">
      <alignment/>
      <protection/>
    </xf>
    <xf numFmtId="37" fontId="4" fillId="0" borderId="1" xfId="0" applyNumberFormat="1" applyFont="1" applyBorder="1" applyAlignment="1" applyProtection="1">
      <alignment horizontal="center"/>
      <protection/>
    </xf>
    <xf numFmtId="37" fontId="4" fillId="0" borderId="1" xfId="0" applyFont="1" applyBorder="1" applyAlignment="1">
      <alignment horizontal="center"/>
    </xf>
    <xf numFmtId="37" fontId="1" fillId="0" borderId="1" xfId="0" applyFont="1" applyBorder="1" applyAlignment="1">
      <alignment horizontal="center"/>
    </xf>
    <xf numFmtId="37" fontId="4" fillId="0" borderId="0" xfId="0" applyNumberFormat="1" applyFont="1" applyBorder="1" applyAlignment="1" applyProtection="1">
      <alignment horizontal="left"/>
      <protection/>
    </xf>
    <xf numFmtId="164" fontId="4" fillId="0" borderId="0" xfId="0" applyNumberFormat="1" applyFont="1" applyBorder="1" applyAlignment="1" applyProtection="1">
      <alignment/>
      <protection/>
    </xf>
    <xf numFmtId="5" fontId="4" fillId="0" borderId="0" xfId="0" applyNumberFormat="1" applyFont="1" applyBorder="1" applyAlignment="1" applyProtection="1">
      <alignment/>
      <protection/>
    </xf>
    <xf numFmtId="2" fontId="4" fillId="0" borderId="0" xfId="19" applyNumberFormat="1" applyFont="1" applyBorder="1" applyAlignment="1">
      <alignment horizontal="center"/>
    </xf>
    <xf numFmtId="5" fontId="4" fillId="0" borderId="0" xfId="0" applyNumberFormat="1" applyFont="1" applyBorder="1" applyAlignment="1">
      <alignment/>
    </xf>
    <xf numFmtId="9" fontId="4" fillId="0" borderId="0" xfId="19" applyFont="1" applyBorder="1" applyAlignment="1">
      <alignment horizontal="center"/>
    </xf>
    <xf numFmtId="165" fontId="4" fillId="0" borderId="0" xfId="0" applyNumberFormat="1" applyFont="1" applyAlignment="1" applyProtection="1" quotePrefix="1">
      <alignment/>
      <protection/>
    </xf>
    <xf numFmtId="170" fontId="9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center"/>
      <protection/>
    </xf>
    <xf numFmtId="37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9" sqref="A9"/>
    </sheetView>
  </sheetViews>
  <sheetFormatPr defaultColWidth="9.00390625" defaultRowHeight="12.75"/>
  <cols>
    <col min="1" max="1" width="16.625" style="7" customWidth="1"/>
    <col min="2" max="2" width="12.125" style="7" customWidth="1"/>
    <col min="3" max="3" width="15.625" style="7" customWidth="1"/>
    <col min="4" max="4" width="16.125" style="7" customWidth="1"/>
    <col min="5" max="5" width="15.625" style="7" customWidth="1"/>
    <col min="6" max="6" width="12.50390625" style="7" customWidth="1"/>
    <col min="7" max="7" width="13.375" style="7" customWidth="1"/>
    <col min="8" max="8" width="15.625" style="7" customWidth="1"/>
    <col min="9" max="9" width="14.625" style="7" customWidth="1"/>
    <col min="10" max="10" width="9.875" style="7" customWidth="1"/>
    <col min="11" max="11" width="12.50390625" style="7" bestFit="1" customWidth="1"/>
    <col min="12" max="12" width="14.875" style="7" customWidth="1"/>
    <col min="13" max="13" width="15.25390625" style="7" customWidth="1"/>
    <col min="14" max="16384" width="8.875" style="7" customWidth="1"/>
  </cols>
  <sheetData>
    <row r="1" spans="1:4" ht="12.75">
      <c r="A1" s="6" t="s">
        <v>260</v>
      </c>
      <c r="D1" s="8"/>
    </row>
    <row r="2" spans="1:12" ht="12.75">
      <c r="A2" s="9" t="s">
        <v>259</v>
      </c>
      <c r="C2" s="55"/>
      <c r="D2" s="55"/>
      <c r="E2" s="55"/>
      <c r="K2" s="10"/>
      <c r="L2" s="10"/>
    </row>
    <row r="3" spans="1:11" ht="12.75">
      <c r="A3" s="11"/>
      <c r="C3" s="56" t="s">
        <v>258</v>
      </c>
      <c r="D3" s="56"/>
      <c r="E3" s="56"/>
      <c r="K3" s="12"/>
    </row>
    <row r="4" spans="1:14" ht="12.7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2:14" ht="12.75" customHeight="1">
      <c r="B5" s="5"/>
      <c r="C5" s="14" t="s">
        <v>0</v>
      </c>
      <c r="D5" s="14" t="s">
        <v>238</v>
      </c>
      <c r="E5" s="14" t="s">
        <v>236</v>
      </c>
      <c r="F5" s="18"/>
      <c r="G5" s="5"/>
      <c r="H5" s="18"/>
      <c r="I5" s="5"/>
      <c r="J5" s="18"/>
      <c r="K5" s="5"/>
      <c r="L5" s="18"/>
      <c r="M5" s="5"/>
      <c r="N5" s="5"/>
    </row>
    <row r="6" spans="1:14" ht="12.75" customHeight="1">
      <c r="A6" s="14" t="s">
        <v>1</v>
      </c>
      <c r="B6" s="13"/>
      <c r="C6" s="14" t="s">
        <v>237</v>
      </c>
      <c r="D6" s="14" t="s">
        <v>239</v>
      </c>
      <c r="E6" s="14" t="s">
        <v>237</v>
      </c>
      <c r="F6" s="18"/>
      <c r="G6" s="5"/>
      <c r="H6" s="18"/>
      <c r="I6" s="5"/>
      <c r="J6" s="18"/>
      <c r="K6" s="5"/>
      <c r="L6" s="18"/>
      <c r="M6" s="5"/>
      <c r="N6" s="5"/>
    </row>
    <row r="7" spans="1:16" ht="12.75" customHeight="1">
      <c r="A7" s="21"/>
      <c r="B7" s="44"/>
      <c r="C7" s="45"/>
      <c r="D7" s="45"/>
      <c r="E7" s="45"/>
      <c r="F7" s="46"/>
      <c r="G7" s="45"/>
      <c r="H7" s="46"/>
      <c r="I7" s="45"/>
      <c r="J7" s="46"/>
      <c r="K7" s="45"/>
      <c r="L7" s="46"/>
      <c r="M7" s="45"/>
      <c r="N7" s="45"/>
      <c r="O7" s="27"/>
      <c r="P7" s="27"/>
    </row>
    <row r="8" spans="1:16" ht="12.75" customHeight="1">
      <c r="A8" s="27"/>
      <c r="B8" s="1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7"/>
      <c r="P8" s="27"/>
    </row>
    <row r="9" spans="1:16" ht="12.75" customHeight="1">
      <c r="A9" s="7" t="s">
        <v>53</v>
      </c>
      <c r="B9" s="14"/>
      <c r="C9" s="28">
        <f>SUM(C11:C61)</f>
        <v>199837486</v>
      </c>
      <c r="D9" s="28">
        <f>SUM(D11:D61)</f>
        <v>1715563</v>
      </c>
      <c r="E9" s="28">
        <f>SUM(E11:E61)</f>
        <v>198121923</v>
      </c>
      <c r="F9" s="5"/>
      <c r="G9" s="28"/>
      <c r="H9" s="28"/>
      <c r="I9" s="28"/>
      <c r="J9" s="5"/>
      <c r="K9" s="28"/>
      <c r="L9" s="28"/>
      <c r="M9" s="28"/>
      <c r="N9" s="5"/>
      <c r="O9" s="27"/>
      <c r="P9" s="27"/>
    </row>
    <row r="10" spans="3:9" ht="12.75" customHeight="1">
      <c r="C10" s="6"/>
      <c r="G10" s="5"/>
      <c r="H10" s="5"/>
      <c r="I10" s="5"/>
    </row>
    <row r="11" spans="1:14" ht="12.75" customHeight="1">
      <c r="A11" s="6" t="s">
        <v>2</v>
      </c>
      <c r="B11" s="8"/>
      <c r="C11" s="15">
        <v>1091488</v>
      </c>
      <c r="D11" s="15">
        <f>Tribes!$H15</f>
        <v>6116</v>
      </c>
      <c r="E11" s="15">
        <f aca="true" t="shared" si="0" ref="E11:E26">C11-D11</f>
        <v>1085372</v>
      </c>
      <c r="F11" s="16"/>
      <c r="G11" s="17"/>
      <c r="H11" s="17"/>
      <c r="I11" s="17"/>
      <c r="J11" s="16"/>
      <c r="K11" s="17"/>
      <c r="L11" s="17"/>
      <c r="M11" s="17"/>
      <c r="N11" s="29"/>
    </row>
    <row r="12" spans="1:14" ht="12.75" customHeight="1">
      <c r="A12" s="6" t="s">
        <v>3</v>
      </c>
      <c r="B12" s="8"/>
      <c r="C12" s="15">
        <v>1514935</v>
      </c>
      <c r="D12" s="15">
        <f>Tribes!$H20</f>
        <v>215252</v>
      </c>
      <c r="E12" s="15">
        <f t="shared" si="0"/>
        <v>1299683</v>
      </c>
      <c r="F12" s="16"/>
      <c r="G12" s="17"/>
      <c r="H12" s="17"/>
      <c r="I12" s="17"/>
      <c r="J12" s="16"/>
      <c r="K12" s="17"/>
      <c r="L12" s="17"/>
      <c r="M12" s="17"/>
      <c r="N12" s="29"/>
    </row>
    <row r="13" spans="1:14" ht="12.75" customHeight="1">
      <c r="A13" s="6" t="s">
        <v>4</v>
      </c>
      <c r="B13" s="8"/>
      <c r="C13" s="15">
        <v>503246</v>
      </c>
      <c r="D13" s="15">
        <f>Tribes!$H30</f>
        <v>40889</v>
      </c>
      <c r="E13" s="15">
        <f t="shared" si="0"/>
        <v>462357</v>
      </c>
      <c r="F13" s="16"/>
      <c r="G13" s="17"/>
      <c r="H13" s="17"/>
      <c r="I13" s="17"/>
      <c r="J13" s="16"/>
      <c r="K13" s="17"/>
      <c r="L13" s="17"/>
      <c r="M13" s="17"/>
      <c r="N13" s="29"/>
    </row>
    <row r="14" spans="1:14" ht="12.75" customHeight="1">
      <c r="A14" s="6" t="s">
        <v>5</v>
      </c>
      <c r="B14" s="8"/>
      <c r="C14" s="15">
        <v>793720</v>
      </c>
      <c r="D14" s="15"/>
      <c r="E14" s="15">
        <f t="shared" si="0"/>
        <v>793720</v>
      </c>
      <c r="F14" s="16"/>
      <c r="G14" s="17"/>
      <c r="H14" s="17"/>
      <c r="I14" s="17"/>
      <c r="J14" s="16"/>
      <c r="K14" s="17"/>
      <c r="L14" s="17"/>
      <c r="M14" s="17"/>
      <c r="N14" s="29"/>
    </row>
    <row r="15" spans="1:14" ht="12.75" customHeight="1">
      <c r="A15" s="6" t="s">
        <v>6</v>
      </c>
      <c r="B15" s="8"/>
      <c r="C15" s="15">
        <v>5588894</v>
      </c>
      <c r="D15" s="15">
        <f>Tribes!H41</f>
        <v>40193</v>
      </c>
      <c r="E15" s="15">
        <f t="shared" si="0"/>
        <v>5548701</v>
      </c>
      <c r="F15" s="16"/>
      <c r="G15" s="17"/>
      <c r="H15" s="17"/>
      <c r="I15" s="17"/>
      <c r="J15" s="16"/>
      <c r="K15" s="17"/>
      <c r="L15" s="17"/>
      <c r="M15" s="17"/>
      <c r="N15" s="29"/>
    </row>
    <row r="16" spans="1:14" ht="12.75" customHeight="1">
      <c r="A16" s="6" t="s">
        <v>7</v>
      </c>
      <c r="B16" s="8"/>
      <c r="C16" s="15">
        <v>1953881</v>
      </c>
      <c r="D16" s="15">
        <f>Tribes!H69</f>
        <v>5201</v>
      </c>
      <c r="E16" s="15">
        <f t="shared" si="0"/>
        <v>1948680</v>
      </c>
      <c r="F16" s="16"/>
      <c r="G16" s="17"/>
      <c r="H16" s="17"/>
      <c r="I16" s="17"/>
      <c r="J16" s="16"/>
      <c r="K16" s="17"/>
      <c r="L16" s="17"/>
      <c r="M16" s="17"/>
      <c r="N16" s="29"/>
    </row>
    <row r="17" spans="1:14" ht="12.75" customHeight="1">
      <c r="A17" s="6" t="s">
        <v>8</v>
      </c>
      <c r="B17" s="8"/>
      <c r="C17" s="15">
        <v>6908830</v>
      </c>
      <c r="D17" s="15"/>
      <c r="E17" s="15">
        <f t="shared" si="0"/>
        <v>6908830</v>
      </c>
      <c r="F17" s="16"/>
      <c r="G17" s="17"/>
      <c r="H17" s="17"/>
      <c r="I17" s="17"/>
      <c r="J17" s="16"/>
      <c r="K17" s="17"/>
      <c r="L17" s="17"/>
      <c r="M17" s="17"/>
      <c r="N17" s="29"/>
    </row>
    <row r="18" spans="1:14" ht="12.75" customHeight="1">
      <c r="A18" s="6" t="s">
        <v>9</v>
      </c>
      <c r="B18" s="8"/>
      <c r="C18" s="15">
        <v>867954</v>
      </c>
      <c r="D18" s="15"/>
      <c r="E18" s="15">
        <f t="shared" si="0"/>
        <v>867954</v>
      </c>
      <c r="F18" s="16"/>
      <c r="G18" s="17"/>
      <c r="H18" s="17"/>
      <c r="I18" s="17"/>
      <c r="J18" s="16"/>
      <c r="K18" s="17"/>
      <c r="L18" s="17"/>
      <c r="M18" s="17"/>
      <c r="N18" s="29"/>
    </row>
    <row r="19" spans="1:14" ht="12.75" customHeight="1">
      <c r="A19" s="6" t="s">
        <v>10</v>
      </c>
      <c r="B19" s="8"/>
      <c r="C19" s="15">
        <v>537929</v>
      </c>
      <c r="D19" s="15"/>
      <c r="E19" s="15">
        <f t="shared" si="0"/>
        <v>537929</v>
      </c>
      <c r="F19" s="16"/>
      <c r="G19" s="17"/>
      <c r="H19" s="17"/>
      <c r="I19" s="17"/>
      <c r="J19" s="16"/>
      <c r="K19" s="17"/>
      <c r="L19" s="17"/>
      <c r="M19" s="17"/>
      <c r="N19" s="29"/>
    </row>
    <row r="20" spans="1:14" ht="12.75" customHeight="1">
      <c r="A20" s="6" t="s">
        <v>11</v>
      </c>
      <c r="B20" s="8"/>
      <c r="C20" s="15">
        <v>1942839</v>
      </c>
      <c r="D20" s="15">
        <f>Tribes!H72</f>
        <v>498</v>
      </c>
      <c r="E20" s="15">
        <f t="shared" si="0"/>
        <v>1942341</v>
      </c>
      <c r="F20" s="16"/>
      <c r="G20" s="17"/>
      <c r="H20" s="17"/>
      <c r="I20" s="17"/>
      <c r="J20" s="16"/>
      <c r="K20" s="17"/>
      <c r="L20" s="17"/>
      <c r="M20" s="17"/>
      <c r="N20" s="29"/>
    </row>
    <row r="21" spans="1:14" ht="12.75" customHeight="1">
      <c r="A21" s="6" t="s">
        <v>12</v>
      </c>
      <c r="B21" s="8"/>
      <c r="C21" s="15">
        <v>1396842</v>
      </c>
      <c r="D21" s="15"/>
      <c r="E21" s="15">
        <f t="shared" si="0"/>
        <v>1396842</v>
      </c>
      <c r="F21" s="16"/>
      <c r="G21" s="17"/>
      <c r="H21" s="17"/>
      <c r="I21" s="17"/>
      <c r="J21" s="16"/>
      <c r="K21" s="17"/>
      <c r="L21" s="17"/>
      <c r="M21" s="17"/>
      <c r="N21" s="29"/>
    </row>
    <row r="22" spans="1:14" ht="12.75" customHeight="1">
      <c r="A22" s="6" t="s">
        <v>13</v>
      </c>
      <c r="B22" s="8"/>
      <c r="C22" s="15">
        <v>130604</v>
      </c>
      <c r="D22" s="15"/>
      <c r="E22" s="15">
        <f t="shared" si="0"/>
        <v>130604</v>
      </c>
      <c r="F22" s="16"/>
      <c r="G22" s="17"/>
      <c r="H22" s="17"/>
      <c r="I22" s="17"/>
      <c r="J22" s="16"/>
      <c r="K22" s="17"/>
      <c r="L22" s="17"/>
      <c r="M22" s="17"/>
      <c r="N22" s="29"/>
    </row>
    <row r="23" spans="1:14" ht="12.75" customHeight="1">
      <c r="A23" s="6" t="s">
        <v>14</v>
      </c>
      <c r="B23" s="8"/>
      <c r="C23" s="15">
        <v>1001467</v>
      </c>
      <c r="D23" s="15">
        <f>Tribes!H75</f>
        <v>16424</v>
      </c>
      <c r="E23" s="15">
        <f t="shared" si="0"/>
        <v>985043</v>
      </c>
      <c r="F23" s="16"/>
      <c r="G23" s="17"/>
      <c r="H23" s="17"/>
      <c r="I23" s="17"/>
      <c r="J23" s="16"/>
      <c r="K23" s="17"/>
      <c r="L23" s="17"/>
      <c r="M23" s="17"/>
      <c r="N23" s="29"/>
    </row>
    <row r="24" spans="1:14" ht="12.75" customHeight="1">
      <c r="A24" s="6" t="s">
        <v>15</v>
      </c>
      <c r="B24" s="8"/>
      <c r="C24" s="15">
        <v>7487253</v>
      </c>
      <c r="D24" s="15"/>
      <c r="E24" s="15">
        <f t="shared" si="0"/>
        <v>7487253</v>
      </c>
      <c r="F24" s="16"/>
      <c r="G24" s="17"/>
      <c r="H24" s="17"/>
      <c r="I24" s="17"/>
      <c r="J24" s="16"/>
      <c r="K24" s="17"/>
      <c r="L24" s="17"/>
      <c r="M24" s="17"/>
      <c r="N24" s="29"/>
    </row>
    <row r="25" spans="1:14" ht="12.75" customHeight="1">
      <c r="A25" s="6" t="s">
        <v>16</v>
      </c>
      <c r="B25" s="8"/>
      <c r="C25" s="15">
        <v>3961449</v>
      </c>
      <c r="D25" s="15">
        <f>Tribes!H79</f>
        <v>601</v>
      </c>
      <c r="E25" s="15">
        <f>C25-D25</f>
        <v>3960848</v>
      </c>
      <c r="F25" s="16"/>
      <c r="G25" s="17"/>
      <c r="H25" s="17"/>
      <c r="I25" s="17"/>
      <c r="J25" s="16"/>
      <c r="K25" s="17"/>
      <c r="L25" s="17"/>
      <c r="M25" s="17"/>
      <c r="N25" s="29"/>
    </row>
    <row r="26" spans="1:14" ht="12.75" customHeight="1">
      <c r="A26" s="6" t="s">
        <v>17</v>
      </c>
      <c r="B26" s="8"/>
      <c r="C26" s="15">
        <v>2742905</v>
      </c>
      <c r="D26" s="15"/>
      <c r="E26" s="15">
        <f t="shared" si="0"/>
        <v>2742905</v>
      </c>
      <c r="F26" s="16"/>
      <c r="G26" s="17"/>
      <c r="H26" s="17"/>
      <c r="I26" s="17"/>
      <c r="J26" s="16"/>
      <c r="K26" s="17"/>
      <c r="L26" s="17"/>
      <c r="M26" s="17"/>
      <c r="N26" s="29"/>
    </row>
    <row r="27" spans="1:14" ht="12.75" customHeight="1">
      <c r="A27" s="6" t="s">
        <v>18</v>
      </c>
      <c r="B27" s="8"/>
      <c r="C27" s="15">
        <v>1038859</v>
      </c>
      <c r="D27" s="15">
        <f>Tribes!H82</f>
        <v>861</v>
      </c>
      <c r="E27" s="15">
        <f aca="true" t="shared" si="1" ref="E27:E42">C27-D27</f>
        <v>1037998</v>
      </c>
      <c r="F27" s="16"/>
      <c r="G27" s="17"/>
      <c r="H27" s="17"/>
      <c r="I27" s="17"/>
      <c r="J27" s="16"/>
      <c r="K27" s="17"/>
      <c r="L27" s="17"/>
      <c r="M27" s="17"/>
      <c r="N27" s="29"/>
    </row>
    <row r="28" spans="1:14" ht="12.75" customHeight="1">
      <c r="A28" s="6" t="s">
        <v>19</v>
      </c>
      <c r="B28" s="8"/>
      <c r="C28" s="15">
        <v>2011539</v>
      </c>
      <c r="D28" s="15"/>
      <c r="E28" s="15">
        <f>C28-D28</f>
        <v>2011539</v>
      </c>
      <c r="F28" s="16"/>
      <c r="G28" s="17"/>
      <c r="H28" s="17"/>
      <c r="I28" s="17"/>
      <c r="J28" s="16"/>
      <c r="K28" s="17"/>
      <c r="L28" s="17"/>
      <c r="M28" s="17"/>
      <c r="N28" s="29"/>
    </row>
    <row r="29" spans="1:14" ht="12.75" customHeight="1">
      <c r="A29" s="6" t="s">
        <v>20</v>
      </c>
      <c r="B29" s="8"/>
      <c r="C29" s="15">
        <v>1071167</v>
      </c>
      <c r="D29" s="15"/>
      <c r="E29" s="15">
        <f>C29-D29</f>
        <v>1071167</v>
      </c>
      <c r="F29" s="16"/>
      <c r="G29" s="17"/>
      <c r="H29" s="17"/>
      <c r="I29" s="17"/>
      <c r="J29" s="16"/>
      <c r="K29" s="17"/>
      <c r="L29" s="17"/>
      <c r="M29" s="17"/>
      <c r="N29" s="29"/>
    </row>
    <row r="30" spans="1:14" ht="12.75" customHeight="1">
      <c r="A30" s="6" t="s">
        <v>21</v>
      </c>
      <c r="B30" s="8"/>
      <c r="C30" s="15">
        <v>5778729</v>
      </c>
      <c r="D30" s="15">
        <f>Tribes!H85</f>
        <v>211211</v>
      </c>
      <c r="E30" s="15">
        <f t="shared" si="1"/>
        <v>5567518</v>
      </c>
      <c r="F30" s="16"/>
      <c r="G30" s="17"/>
      <c r="H30" s="17"/>
      <c r="I30" s="17"/>
      <c r="J30" s="16"/>
      <c r="K30" s="17"/>
      <c r="L30" s="17"/>
      <c r="M30" s="17"/>
      <c r="N30" s="29"/>
    </row>
    <row r="31" spans="1:14" ht="12.75" customHeight="1">
      <c r="A31" s="6" t="s">
        <v>22</v>
      </c>
      <c r="B31" s="8"/>
      <c r="C31" s="15">
        <v>3808774</v>
      </c>
      <c r="D31" s="15"/>
      <c r="E31" s="15">
        <f t="shared" si="1"/>
        <v>3808774</v>
      </c>
      <c r="F31" s="16"/>
      <c r="G31" s="17"/>
      <c r="H31" s="17"/>
      <c r="I31" s="17"/>
      <c r="J31" s="16"/>
      <c r="K31" s="17"/>
      <c r="L31" s="17"/>
      <c r="M31" s="17"/>
      <c r="N31" s="29"/>
    </row>
    <row r="32" spans="1:14" ht="12.75" customHeight="1">
      <c r="A32" s="6" t="s">
        <v>23</v>
      </c>
      <c r="B32" s="8"/>
      <c r="C32" s="15">
        <v>12277133</v>
      </c>
      <c r="D32" s="15">
        <f>Tribes!H92</f>
        <v>4911</v>
      </c>
      <c r="E32" s="15">
        <f t="shared" si="1"/>
        <v>12272222</v>
      </c>
      <c r="F32" s="16"/>
      <c r="G32" s="17"/>
      <c r="H32" s="17"/>
      <c r="I32" s="17"/>
      <c r="J32" s="16"/>
      <c r="K32" s="17"/>
      <c r="L32" s="17"/>
      <c r="M32" s="17"/>
      <c r="N32" s="29"/>
    </row>
    <row r="33" spans="1:14" ht="12.75" customHeight="1">
      <c r="A33" s="6" t="s">
        <v>24</v>
      </c>
      <c r="B33" s="8"/>
      <c r="C33" s="15">
        <v>8401042</v>
      </c>
      <c r="D33" s="15">
        <f>Tribes!H95</f>
        <v>38698</v>
      </c>
      <c r="E33" s="15">
        <f t="shared" si="1"/>
        <v>8362344</v>
      </c>
      <c r="F33" s="16"/>
      <c r="G33" s="17"/>
      <c r="H33" s="17"/>
      <c r="I33" s="17"/>
      <c r="J33" s="16"/>
      <c r="K33" s="17"/>
      <c r="L33" s="17"/>
      <c r="M33" s="17"/>
      <c r="N33" s="29"/>
    </row>
    <row r="34" spans="1:14" ht="12.75" customHeight="1">
      <c r="A34" s="6" t="s">
        <v>25</v>
      </c>
      <c r="B34" s="8"/>
      <c r="C34" s="15">
        <v>7626531</v>
      </c>
      <c r="D34" s="15"/>
      <c r="E34" s="15">
        <f t="shared" si="1"/>
        <v>7626531</v>
      </c>
      <c r="F34" s="16"/>
      <c r="G34" s="17"/>
      <c r="H34" s="17"/>
      <c r="I34" s="17"/>
      <c r="J34" s="16"/>
      <c r="K34" s="17"/>
      <c r="L34" s="17"/>
      <c r="M34" s="17"/>
      <c r="N34" s="29"/>
    </row>
    <row r="35" spans="1:14" ht="12.75" customHeight="1">
      <c r="A35" s="6" t="s">
        <v>26</v>
      </c>
      <c r="B35" s="8"/>
      <c r="C35" s="15">
        <v>902716</v>
      </c>
      <c r="D35" s="15">
        <f>Tribes!H102</f>
        <v>1508</v>
      </c>
      <c r="E35" s="15">
        <f t="shared" si="1"/>
        <v>901208</v>
      </c>
      <c r="F35" s="16"/>
      <c r="G35" s="17"/>
      <c r="H35" s="17"/>
      <c r="I35" s="17"/>
      <c r="J35" s="16"/>
      <c r="K35" s="17"/>
      <c r="L35" s="17"/>
      <c r="M35" s="17"/>
      <c r="N35" s="29"/>
    </row>
    <row r="36" spans="1:14" ht="12.75" customHeight="1">
      <c r="A36" s="6" t="s">
        <v>27</v>
      </c>
      <c r="B36" s="8"/>
      <c r="C36" s="15">
        <v>2957449</v>
      </c>
      <c r="D36" s="15"/>
      <c r="E36" s="15">
        <f t="shared" si="1"/>
        <v>2957449</v>
      </c>
      <c r="F36" s="16"/>
      <c r="G36" s="17"/>
      <c r="H36" s="17"/>
      <c r="I36" s="17"/>
      <c r="J36" s="16"/>
      <c r="K36" s="17"/>
      <c r="L36" s="17"/>
      <c r="M36" s="17"/>
      <c r="N36" s="29"/>
    </row>
    <row r="37" spans="1:14" ht="12.75" customHeight="1">
      <c r="A37" s="6" t="s">
        <v>28</v>
      </c>
      <c r="B37" s="8"/>
      <c r="C37" s="15">
        <v>1025622</v>
      </c>
      <c r="D37" s="15">
        <f>Tribes!H105</f>
        <v>155287</v>
      </c>
      <c r="E37" s="15">
        <f t="shared" si="1"/>
        <v>870335</v>
      </c>
      <c r="F37" s="16"/>
      <c r="G37" s="17"/>
      <c r="H37" s="17"/>
      <c r="I37" s="17"/>
      <c r="J37" s="16"/>
      <c r="K37" s="17"/>
      <c r="L37" s="17"/>
      <c r="M37" s="17"/>
      <c r="N37" s="29"/>
    </row>
    <row r="38" spans="1:14" ht="12.75" customHeight="1">
      <c r="A38" s="6" t="s">
        <v>29</v>
      </c>
      <c r="B38" s="8"/>
      <c r="C38" s="15">
        <v>1231193</v>
      </c>
      <c r="D38" s="15">
        <f>Tribes!H113</f>
        <v>288</v>
      </c>
      <c r="E38" s="15">
        <f t="shared" si="1"/>
        <v>1230905</v>
      </c>
      <c r="F38" s="16"/>
      <c r="G38" s="17"/>
      <c r="H38" s="17"/>
      <c r="I38" s="17"/>
      <c r="J38" s="16"/>
      <c r="K38" s="17"/>
      <c r="L38" s="17"/>
      <c r="M38" s="17"/>
      <c r="N38" s="29"/>
    </row>
    <row r="39" spans="1:14" ht="12.75" customHeight="1">
      <c r="A39" s="6" t="s">
        <v>30</v>
      </c>
      <c r="B39" s="8"/>
      <c r="C39" s="15">
        <v>263451</v>
      </c>
      <c r="D39" s="15"/>
      <c r="E39" s="15">
        <f t="shared" si="1"/>
        <v>263451</v>
      </c>
      <c r="F39" s="16"/>
      <c r="G39" s="17"/>
      <c r="H39" s="17"/>
      <c r="I39" s="17"/>
      <c r="J39" s="16"/>
      <c r="K39" s="17"/>
      <c r="L39" s="17"/>
      <c r="M39" s="17"/>
      <c r="N39" s="29"/>
    </row>
    <row r="40" spans="1:14" ht="12.75" customHeight="1">
      <c r="A40" s="6" t="s">
        <v>31</v>
      </c>
      <c r="B40" s="8"/>
      <c r="C40" s="15">
        <v>2951570</v>
      </c>
      <c r="D40" s="15"/>
      <c r="E40" s="15">
        <f t="shared" si="1"/>
        <v>2951570</v>
      </c>
      <c r="F40" s="16"/>
      <c r="G40" s="17"/>
      <c r="H40" s="17"/>
      <c r="I40" s="17"/>
      <c r="J40" s="16"/>
      <c r="K40" s="17"/>
      <c r="L40" s="17"/>
      <c r="M40" s="17"/>
      <c r="N40" s="29"/>
    </row>
    <row r="41" spans="1:14" ht="12.75" customHeight="1">
      <c r="A41" s="6" t="s">
        <v>32</v>
      </c>
      <c r="B41" s="8"/>
      <c r="C41" s="15">
        <v>10356084</v>
      </c>
      <c r="D41" s="15">
        <f>Tribes!H116</f>
        <v>25892</v>
      </c>
      <c r="E41" s="15">
        <f t="shared" si="1"/>
        <v>10330192</v>
      </c>
      <c r="F41" s="16"/>
      <c r="G41" s="17"/>
      <c r="H41" s="17"/>
      <c r="I41" s="17"/>
      <c r="J41" s="16"/>
      <c r="K41" s="17"/>
      <c r="L41" s="17"/>
      <c r="M41" s="17"/>
      <c r="N41" s="29"/>
    </row>
    <row r="42" spans="1:14" ht="12.75" customHeight="1">
      <c r="A42" s="6" t="s">
        <v>33</v>
      </c>
      <c r="B42" s="8"/>
      <c r="C42" s="15">
        <v>630990</v>
      </c>
      <c r="D42" s="15">
        <f>Tribes!H119</f>
        <v>47283</v>
      </c>
      <c r="E42" s="15">
        <f t="shared" si="1"/>
        <v>583707</v>
      </c>
      <c r="F42" s="16"/>
      <c r="G42" s="17"/>
      <c r="H42" s="17"/>
      <c r="I42" s="17"/>
      <c r="J42" s="16"/>
      <c r="K42" s="17"/>
      <c r="L42" s="17"/>
      <c r="M42" s="17"/>
      <c r="N42" s="29"/>
    </row>
    <row r="43" spans="1:14" ht="12.75" customHeight="1">
      <c r="A43" s="6" t="s">
        <v>34</v>
      </c>
      <c r="B43" s="8"/>
      <c r="C43" s="15">
        <v>36767194</v>
      </c>
      <c r="D43" s="15">
        <f>Tribes!H125</f>
        <v>55981</v>
      </c>
      <c r="E43" s="15">
        <f aca="true" t="shared" si="2" ref="E43:E58">C43-D43</f>
        <v>36711213</v>
      </c>
      <c r="F43" s="16"/>
      <c r="G43" s="17"/>
      <c r="H43" s="17"/>
      <c r="I43" s="17"/>
      <c r="J43" s="16"/>
      <c r="K43" s="17"/>
      <c r="L43" s="17"/>
      <c r="M43" s="17"/>
      <c r="N43" s="29"/>
    </row>
    <row r="44" spans="1:14" ht="12.75" customHeight="1">
      <c r="A44" s="6" t="s">
        <v>35</v>
      </c>
      <c r="B44" s="8"/>
      <c r="C44" s="15">
        <v>4727244</v>
      </c>
      <c r="D44" s="15">
        <f>Tribes!H129</f>
        <v>75980</v>
      </c>
      <c r="E44" s="15">
        <f t="shared" si="2"/>
        <v>4651264</v>
      </c>
      <c r="F44" s="16"/>
      <c r="G44" s="17"/>
      <c r="H44" s="17"/>
      <c r="I44" s="17"/>
      <c r="J44" s="16"/>
      <c r="K44" s="17"/>
      <c r="L44" s="17"/>
      <c r="M44" s="17"/>
      <c r="N44" s="29"/>
    </row>
    <row r="45" spans="1:14" ht="12.75" customHeight="1">
      <c r="A45" s="6" t="s">
        <v>36</v>
      </c>
      <c r="B45" s="8"/>
      <c r="C45" s="15">
        <v>1574315</v>
      </c>
      <c r="D45" s="15">
        <f>Tribes!H132</f>
        <v>304315</v>
      </c>
      <c r="E45" s="15">
        <f t="shared" si="2"/>
        <v>1270000</v>
      </c>
      <c r="F45" s="16"/>
      <c r="G45" s="17"/>
      <c r="H45" s="17"/>
      <c r="I45" s="17"/>
      <c r="J45" s="16"/>
      <c r="K45" s="17"/>
      <c r="L45" s="17"/>
      <c r="M45" s="17"/>
      <c r="N45" s="29"/>
    </row>
    <row r="46" spans="1:14" ht="12.75" customHeight="1">
      <c r="A46" s="6" t="s">
        <v>37</v>
      </c>
      <c r="B46" s="8"/>
      <c r="C46" s="15">
        <v>7797095</v>
      </c>
      <c r="D46" s="15"/>
      <c r="E46" s="15">
        <f t="shared" si="2"/>
        <v>7797095</v>
      </c>
      <c r="F46" s="16"/>
      <c r="G46" s="17"/>
      <c r="H46" s="17"/>
      <c r="I46" s="17"/>
      <c r="J46" s="16"/>
      <c r="K46" s="17"/>
      <c r="L46" s="17"/>
      <c r="M46" s="17"/>
      <c r="N46" s="29"/>
    </row>
    <row r="47" spans="1:14" ht="12.75" customHeight="1">
      <c r="A47" s="6" t="s">
        <v>38</v>
      </c>
      <c r="B47" s="8"/>
      <c r="C47" s="15">
        <v>951772</v>
      </c>
      <c r="D47" s="15">
        <f>Tribes!H138</f>
        <v>80254</v>
      </c>
      <c r="E47" s="15">
        <f t="shared" si="2"/>
        <v>871518</v>
      </c>
      <c r="F47" s="16"/>
      <c r="G47" s="17"/>
      <c r="H47" s="17"/>
      <c r="I47" s="17"/>
      <c r="J47" s="16"/>
      <c r="K47" s="17"/>
      <c r="L47" s="17"/>
      <c r="M47" s="17"/>
      <c r="N47" s="29"/>
    </row>
    <row r="48" spans="1:14" ht="12.75" customHeight="1">
      <c r="A48" s="6" t="s">
        <v>39</v>
      </c>
      <c r="B48" s="8"/>
      <c r="C48" s="15">
        <v>2037124</v>
      </c>
      <c r="D48" s="15">
        <f>Tribes!H170</f>
        <v>15434</v>
      </c>
      <c r="E48" s="15">
        <f t="shared" si="2"/>
        <v>2021690</v>
      </c>
      <c r="F48" s="16"/>
      <c r="G48" s="17"/>
      <c r="H48" s="17"/>
      <c r="I48" s="17"/>
      <c r="J48" s="16"/>
      <c r="K48" s="17"/>
      <c r="L48" s="17"/>
      <c r="M48" s="17"/>
      <c r="N48" s="29"/>
    </row>
    <row r="49" spans="1:14" ht="12.75" customHeight="1">
      <c r="A49" s="6" t="s">
        <v>40</v>
      </c>
      <c r="B49" s="8"/>
      <c r="C49" s="15">
        <v>16469576</v>
      </c>
      <c r="D49" s="15"/>
      <c r="E49" s="15">
        <f t="shared" si="2"/>
        <v>16469576</v>
      </c>
      <c r="F49" s="16"/>
      <c r="G49" s="17"/>
      <c r="H49" s="17"/>
      <c r="I49" s="17"/>
      <c r="J49" s="16"/>
      <c r="K49" s="17"/>
      <c r="L49" s="17"/>
      <c r="M49" s="17"/>
      <c r="N49" s="29"/>
    </row>
    <row r="50" spans="1:14" ht="12.75" customHeight="1">
      <c r="A50" s="6" t="s">
        <v>41</v>
      </c>
      <c r="B50" s="8"/>
      <c r="C50" s="15">
        <v>2052509</v>
      </c>
      <c r="D50" s="15">
        <f>Tribes!H174</f>
        <v>5816</v>
      </c>
      <c r="E50" s="15">
        <f t="shared" si="2"/>
        <v>2046693</v>
      </c>
      <c r="F50" s="16"/>
      <c r="G50" s="17"/>
      <c r="H50" s="17"/>
      <c r="I50" s="17"/>
      <c r="J50" s="16"/>
      <c r="K50" s="17"/>
      <c r="L50" s="17"/>
      <c r="M50" s="17"/>
      <c r="N50" s="29"/>
    </row>
    <row r="51" spans="1:14" ht="12.75" customHeight="1">
      <c r="A51" s="6" t="s">
        <v>42</v>
      </c>
      <c r="B51" s="8"/>
      <c r="C51" s="15">
        <v>1367982</v>
      </c>
      <c r="D51" s="15"/>
      <c r="E51" s="15">
        <f t="shared" si="2"/>
        <v>1367982</v>
      </c>
      <c r="F51" s="16"/>
      <c r="G51" s="17"/>
      <c r="H51" s="17"/>
      <c r="I51" s="17"/>
      <c r="J51" s="16"/>
      <c r="K51" s="17"/>
      <c r="L51" s="17"/>
      <c r="M51" s="17"/>
      <c r="N51" s="29"/>
    </row>
    <row r="52" spans="1:14" ht="12.75" customHeight="1">
      <c r="A52" s="6" t="s">
        <v>43</v>
      </c>
      <c r="B52" s="8"/>
      <c r="C52" s="15">
        <v>1203869</v>
      </c>
      <c r="D52" s="15">
        <f>Tribes!H177</f>
        <v>214048</v>
      </c>
      <c r="E52" s="15">
        <f t="shared" si="2"/>
        <v>989821</v>
      </c>
      <c r="F52" s="16"/>
      <c r="G52" s="17"/>
      <c r="H52" s="17"/>
      <c r="I52" s="17"/>
      <c r="J52" s="16"/>
      <c r="K52" s="17"/>
      <c r="L52" s="17"/>
      <c r="M52" s="17"/>
      <c r="N52" s="29"/>
    </row>
    <row r="53" spans="1:14" ht="12.75" customHeight="1">
      <c r="A53" s="6" t="s">
        <v>44</v>
      </c>
      <c r="B53" s="8"/>
      <c r="C53" s="15">
        <v>2007525</v>
      </c>
      <c r="D53" s="15"/>
      <c r="E53" s="15">
        <f t="shared" si="2"/>
        <v>2007525</v>
      </c>
      <c r="F53" s="16"/>
      <c r="G53" s="17"/>
      <c r="H53" s="17"/>
      <c r="I53" s="17"/>
      <c r="J53" s="16"/>
      <c r="K53" s="17"/>
      <c r="L53" s="17"/>
      <c r="M53" s="17"/>
      <c r="N53" s="29"/>
    </row>
    <row r="54" spans="1:14" ht="12.75" customHeight="1">
      <c r="A54" s="6" t="s">
        <v>45</v>
      </c>
      <c r="B54" s="8"/>
      <c r="C54" s="15">
        <v>2735094</v>
      </c>
      <c r="D54" s="15"/>
      <c r="E54" s="15">
        <f t="shared" si="2"/>
        <v>2735094</v>
      </c>
      <c r="F54" s="16"/>
      <c r="G54" s="17"/>
      <c r="H54" s="17"/>
      <c r="I54" s="17"/>
      <c r="J54" s="16"/>
      <c r="K54" s="17"/>
      <c r="L54" s="17"/>
      <c r="M54" s="17"/>
      <c r="N54" s="29"/>
    </row>
    <row r="55" spans="1:14" ht="12.75" customHeight="1">
      <c r="A55" s="6" t="s">
        <v>46</v>
      </c>
      <c r="B55" s="8"/>
      <c r="C55" s="15">
        <v>960157</v>
      </c>
      <c r="D55" s="15">
        <f>Tribes!H186</f>
        <v>17863</v>
      </c>
      <c r="E55" s="15">
        <f t="shared" si="2"/>
        <v>942294</v>
      </c>
      <c r="F55" s="16"/>
      <c r="G55" s="17"/>
      <c r="H55" s="17"/>
      <c r="I55" s="17"/>
      <c r="J55" s="16"/>
      <c r="K55" s="17"/>
      <c r="L55" s="17"/>
      <c r="M55" s="17"/>
      <c r="N55" s="29"/>
    </row>
    <row r="56" spans="1:14" ht="12.75" customHeight="1">
      <c r="A56" s="6" t="s">
        <v>47</v>
      </c>
      <c r="B56" s="8"/>
      <c r="C56" s="15">
        <v>2128885</v>
      </c>
      <c r="D56" s="15"/>
      <c r="E56" s="15">
        <f t="shared" si="2"/>
        <v>2128885</v>
      </c>
      <c r="F56" s="16"/>
      <c r="G56" s="17"/>
      <c r="H56" s="17"/>
      <c r="I56" s="17"/>
      <c r="J56" s="16"/>
      <c r="K56" s="17"/>
      <c r="L56" s="17"/>
      <c r="M56" s="17"/>
      <c r="N56" s="29"/>
    </row>
    <row r="57" spans="1:14" ht="12.75" customHeight="1">
      <c r="A57" s="6" t="s">
        <v>48</v>
      </c>
      <c r="B57" s="8"/>
      <c r="C57" s="15">
        <v>4653087</v>
      </c>
      <c r="D57" s="15"/>
      <c r="E57" s="15">
        <f t="shared" si="2"/>
        <v>4653087</v>
      </c>
      <c r="F57" s="16"/>
      <c r="G57" s="17"/>
      <c r="H57" s="17"/>
      <c r="I57" s="17"/>
      <c r="J57" s="16"/>
      <c r="K57" s="17"/>
      <c r="L57" s="17"/>
      <c r="M57" s="17"/>
      <c r="N57" s="29"/>
    </row>
    <row r="58" spans="1:14" ht="12.75" customHeight="1">
      <c r="A58" s="6" t="s">
        <v>49</v>
      </c>
      <c r="B58" s="8"/>
      <c r="C58" s="15">
        <v>3189613</v>
      </c>
      <c r="D58" s="15">
        <f>Tribes!H191</f>
        <v>129413</v>
      </c>
      <c r="E58" s="15">
        <f t="shared" si="2"/>
        <v>3060200</v>
      </c>
      <c r="F58" s="16"/>
      <c r="G58" s="17"/>
      <c r="H58" s="17"/>
      <c r="I58" s="17"/>
      <c r="J58" s="16"/>
      <c r="K58" s="17"/>
      <c r="L58" s="17"/>
      <c r="M58" s="17"/>
      <c r="N58" s="29"/>
    </row>
    <row r="59" spans="1:14" ht="12.75" customHeight="1">
      <c r="A59" s="6" t="s">
        <v>50</v>
      </c>
      <c r="B59" s="8"/>
      <c r="C59" s="15">
        <v>1429584</v>
      </c>
      <c r="D59" s="15"/>
      <c r="E59" s="15">
        <f>C59-D59</f>
        <v>1429584</v>
      </c>
      <c r="F59" s="16"/>
      <c r="G59" s="17"/>
      <c r="H59" s="17"/>
      <c r="I59" s="17"/>
      <c r="J59" s="16"/>
      <c r="K59" s="17"/>
      <c r="L59" s="17"/>
      <c r="M59" s="17"/>
      <c r="N59" s="29"/>
    </row>
    <row r="60" spans="1:14" ht="12.75" customHeight="1">
      <c r="A60" s="6" t="s">
        <v>51</v>
      </c>
      <c r="B60" s="8"/>
      <c r="C60" s="15">
        <v>6661621</v>
      </c>
      <c r="D60" s="15"/>
      <c r="E60" s="15">
        <f>C60-D60</f>
        <v>6661621</v>
      </c>
      <c r="F60" s="16"/>
      <c r="G60" s="17"/>
      <c r="H60" s="17"/>
      <c r="I60" s="17"/>
      <c r="J60" s="16"/>
      <c r="K60" s="17"/>
      <c r="L60" s="17"/>
      <c r="M60" s="17"/>
      <c r="N60" s="29"/>
    </row>
    <row r="61" spans="1:14" ht="12.75" customHeight="1">
      <c r="A61" s="22" t="s">
        <v>52</v>
      </c>
      <c r="B61" s="23"/>
      <c r="C61" s="24">
        <v>366155</v>
      </c>
      <c r="D61" s="24">
        <f>Tribes!H213</f>
        <v>5346</v>
      </c>
      <c r="E61" s="24">
        <f>C61-D61</f>
        <v>360809</v>
      </c>
      <c r="F61" s="25"/>
      <c r="G61" s="26"/>
      <c r="H61" s="26"/>
      <c r="I61" s="26"/>
      <c r="J61" s="25"/>
      <c r="K61" s="26"/>
      <c r="L61" s="26"/>
      <c r="M61" s="26"/>
      <c r="N61" s="30"/>
    </row>
    <row r="62" spans="1:14" ht="12.75">
      <c r="A62" s="47"/>
      <c r="B62" s="48"/>
      <c r="C62" s="49"/>
      <c r="D62" s="49"/>
      <c r="E62" s="49"/>
      <c r="F62" s="50"/>
      <c r="G62" s="51"/>
      <c r="H62" s="51"/>
      <c r="I62" s="51"/>
      <c r="J62" s="50"/>
      <c r="K62" s="51"/>
      <c r="L62" s="51"/>
      <c r="M62" s="51"/>
      <c r="N62" s="52"/>
    </row>
    <row r="63" spans="1:9" ht="12.75" customHeight="1">
      <c r="A63" s="9"/>
      <c r="B63" s="8"/>
      <c r="C63" s="15"/>
      <c r="D63" s="15"/>
      <c r="E63" s="15"/>
      <c r="G63" s="15"/>
      <c r="H63" s="15"/>
      <c r="I63" s="15"/>
    </row>
    <row r="64" spans="8:9" ht="12.75" customHeight="1">
      <c r="H64" s="15"/>
      <c r="I64" s="15"/>
    </row>
    <row r="65" spans="1:6" ht="12.75">
      <c r="A65" s="6" t="s">
        <v>246</v>
      </c>
      <c r="B65" s="15">
        <v>200000000</v>
      </c>
      <c r="C65" s="15"/>
      <c r="D65" s="15"/>
      <c r="E65" s="41"/>
      <c r="F65" s="41"/>
    </row>
    <row r="66" spans="1:11" ht="12.75">
      <c r="A66" s="6" t="s">
        <v>235</v>
      </c>
      <c r="B66" s="15">
        <v>0</v>
      </c>
      <c r="D66" s="6" t="s">
        <v>261</v>
      </c>
      <c r="E66" s="5"/>
      <c r="F66" s="42"/>
      <c r="H66" s="5"/>
      <c r="I66" s="9"/>
      <c r="K66" s="18"/>
    </row>
    <row r="67" spans="1:9" ht="12.75">
      <c r="A67" s="14" t="s">
        <v>240</v>
      </c>
      <c r="B67" s="15">
        <f>B65-B66</f>
        <v>200000000</v>
      </c>
      <c r="I67" s="9"/>
    </row>
    <row r="68" spans="1:11" ht="12.75">
      <c r="A68" s="6" t="s">
        <v>59</v>
      </c>
      <c r="B68" s="15">
        <v>0</v>
      </c>
      <c r="D68" s="7" t="s">
        <v>53</v>
      </c>
      <c r="E68" s="15">
        <f>SUM(E70:E74)</f>
        <v>162514</v>
      </c>
      <c r="F68" s="15"/>
      <c r="I68" s="19"/>
      <c r="K68" s="19"/>
    </row>
    <row r="69" spans="1:9" ht="12.75">
      <c r="A69" s="14" t="s">
        <v>241</v>
      </c>
      <c r="B69" s="15">
        <f>B67-B68</f>
        <v>200000000</v>
      </c>
      <c r="I69" s="19"/>
    </row>
    <row r="70" spans="1:9" ht="12.75">
      <c r="A70" s="6" t="s">
        <v>61</v>
      </c>
      <c r="B70" s="15">
        <v>162514</v>
      </c>
      <c r="D70" s="6" t="s">
        <v>55</v>
      </c>
      <c r="E70" s="15">
        <v>2688</v>
      </c>
      <c r="F70" s="15"/>
      <c r="I70" s="19"/>
    </row>
    <row r="71" spans="1:9" ht="12.75">
      <c r="A71" s="6" t="s">
        <v>62</v>
      </c>
      <c r="B71" s="15">
        <f>ROUND(+B69-B70,0)</f>
        <v>199837486</v>
      </c>
      <c r="D71" s="6" t="s">
        <v>56</v>
      </c>
      <c r="E71" s="15">
        <v>5894</v>
      </c>
      <c r="F71" s="15"/>
      <c r="I71" s="19"/>
    </row>
    <row r="72" spans="4:11" ht="12.75">
      <c r="D72" s="6" t="s">
        <v>57</v>
      </c>
      <c r="E72" s="15">
        <v>2047</v>
      </c>
      <c r="F72" s="15"/>
      <c r="I72" s="19"/>
      <c r="K72" s="19"/>
    </row>
    <row r="73" spans="4:9" ht="12.75">
      <c r="D73" s="6" t="s">
        <v>58</v>
      </c>
      <c r="E73" s="15">
        <v>146311</v>
      </c>
      <c r="F73" s="15"/>
      <c r="H73" s="17"/>
      <c r="I73" s="17"/>
    </row>
    <row r="74" spans="1:6" s="9" customFormat="1" ht="12.75">
      <c r="A74" s="7"/>
      <c r="B74" s="7"/>
      <c r="C74" s="7"/>
      <c r="D74" s="6" t="s">
        <v>60</v>
      </c>
      <c r="E74" s="15">
        <v>5574</v>
      </c>
      <c r="F74" s="15"/>
    </row>
  </sheetData>
  <sheetProtection password="E68A" sheet="1" objects="1" scenarios="1"/>
  <mergeCells count="2">
    <mergeCell ref="C2:E2"/>
    <mergeCell ref="C3:E3"/>
  </mergeCells>
  <printOptions/>
  <pageMargins left="0.83" right="0.75" top="0.5" bottom="0.5" header="0.5" footer="0.5"/>
  <pageSetup fitToHeight="2" horizontalDpi="300" verticalDpi="300" orientation="portrait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535"/>
  <sheetViews>
    <sheetView showGridLines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" sqref="A3"/>
    </sheetView>
  </sheetViews>
  <sheetFormatPr defaultColWidth="15.625" defaultRowHeight="12.75"/>
  <cols>
    <col min="1" max="1" width="44.00390625" style="7" customWidth="1"/>
    <col min="2" max="2" width="12.625" style="7" customWidth="1"/>
    <col min="3" max="4" width="10.625" style="7" customWidth="1"/>
    <col min="5" max="6" width="14.625" style="7" customWidth="1"/>
    <col min="7" max="8" width="12.625" style="7" customWidth="1"/>
    <col min="9" max="9" width="13.625" style="7" customWidth="1"/>
    <col min="10" max="10" width="13.625" style="7" hidden="1" customWidth="1"/>
    <col min="11" max="11" width="13.375" style="12" hidden="1" customWidth="1"/>
    <col min="12" max="12" width="13.125" style="7" hidden="1" customWidth="1"/>
    <col min="13" max="16384" width="15.625" style="7" customWidth="1"/>
  </cols>
  <sheetData>
    <row r="1" spans="1:10" ht="12.75">
      <c r="A1" s="6" t="s">
        <v>230</v>
      </c>
      <c r="J1" s="6" t="s">
        <v>54</v>
      </c>
    </row>
    <row r="2" spans="1:6" ht="15">
      <c r="A2" s="2"/>
      <c r="C2" s="55" t="s">
        <v>262</v>
      </c>
      <c r="D2" s="55"/>
      <c r="E2" s="55"/>
      <c r="F2" s="53"/>
    </row>
    <row r="3" spans="1:5" ht="12.75">
      <c r="A3" s="3"/>
      <c r="C3" s="56" t="s">
        <v>263</v>
      </c>
      <c r="D3" s="56"/>
      <c r="E3" s="56"/>
    </row>
    <row r="4" spans="1:6" ht="12.75">
      <c r="A4" s="6" t="s">
        <v>63</v>
      </c>
      <c r="B4" s="6" t="s">
        <v>64</v>
      </c>
      <c r="F4" s="7" t="s">
        <v>54</v>
      </c>
    </row>
    <row r="5" spans="1:2" ht="12.75">
      <c r="A5" s="6" t="s">
        <v>65</v>
      </c>
      <c r="B5" s="6" t="s">
        <v>255</v>
      </c>
    </row>
    <row r="6" spans="1:2" ht="12.75">
      <c r="A6" s="6" t="s">
        <v>254</v>
      </c>
      <c r="B6" s="6" t="s">
        <v>256</v>
      </c>
    </row>
    <row r="7" spans="1:2" ht="12.75">
      <c r="A7" s="6"/>
      <c r="B7" s="6" t="s">
        <v>257</v>
      </c>
    </row>
    <row r="8" spans="7:8" ht="12.75">
      <c r="G8" s="14" t="s">
        <v>66</v>
      </c>
      <c r="H8" s="14" t="s">
        <v>67</v>
      </c>
    </row>
    <row r="9" spans="2:12" ht="12.75">
      <c r="B9" s="14" t="s">
        <v>68</v>
      </c>
      <c r="C9" s="14" t="s">
        <v>69</v>
      </c>
      <c r="E9" s="14" t="s">
        <v>70</v>
      </c>
      <c r="F9" s="14" t="s">
        <v>71</v>
      </c>
      <c r="G9" s="14" t="s">
        <v>72</v>
      </c>
      <c r="H9" s="14" t="s">
        <v>73</v>
      </c>
      <c r="I9" s="14" t="s">
        <v>74</v>
      </c>
      <c r="J9" s="42" t="s">
        <v>247</v>
      </c>
      <c r="K9" s="5" t="s">
        <v>250</v>
      </c>
      <c r="L9" s="5" t="s">
        <v>252</v>
      </c>
    </row>
    <row r="10" spans="1:12" ht="12.75">
      <c r="A10" s="44" t="s">
        <v>75</v>
      </c>
      <c r="B10" s="44" t="s">
        <v>76</v>
      </c>
      <c r="C10" s="44" t="s">
        <v>77</v>
      </c>
      <c r="D10" s="44" t="s">
        <v>78</v>
      </c>
      <c r="E10" s="44" t="s">
        <v>79</v>
      </c>
      <c r="F10" s="44" t="s">
        <v>80</v>
      </c>
      <c r="G10" s="44" t="s">
        <v>81</v>
      </c>
      <c r="H10" s="44" t="s">
        <v>82</v>
      </c>
      <c r="I10" s="44" t="s">
        <v>83</v>
      </c>
      <c r="J10" s="45" t="s">
        <v>249</v>
      </c>
      <c r="K10" s="45" t="s">
        <v>251</v>
      </c>
      <c r="L10" s="45" t="s">
        <v>253</v>
      </c>
    </row>
    <row r="11" spans="1:12" ht="12.75">
      <c r="A11" s="14"/>
      <c r="B11" s="14"/>
      <c r="C11" s="14"/>
      <c r="D11" s="14"/>
      <c r="E11" s="14"/>
      <c r="F11" s="14"/>
      <c r="G11" s="14"/>
      <c r="H11" s="14"/>
      <c r="I11" s="14"/>
      <c r="J11" s="5"/>
      <c r="L11" s="5"/>
    </row>
    <row r="12" spans="1:12" ht="12.75">
      <c r="A12" s="14"/>
      <c r="B12" s="14"/>
      <c r="C12" s="14"/>
      <c r="D12" s="14"/>
      <c r="E12" s="14"/>
      <c r="F12" s="14"/>
      <c r="G12" s="14"/>
      <c r="H12" s="14"/>
      <c r="I12" s="14"/>
      <c r="J12" s="5"/>
      <c r="L12" s="5"/>
    </row>
    <row r="13" spans="1:12" ht="14.25">
      <c r="A13" s="1" t="s">
        <v>248</v>
      </c>
      <c r="B13" s="14"/>
      <c r="C13" s="14"/>
      <c r="D13" s="14"/>
      <c r="E13" s="43">
        <f>SUM(E15:E215)</f>
        <v>113030519</v>
      </c>
      <c r="F13" s="4"/>
      <c r="G13" s="43">
        <f aca="true" t="shared" si="0" ref="G13:L13">SUM(G15:G215)</f>
        <v>1715563</v>
      </c>
      <c r="H13" s="43">
        <f t="shared" si="0"/>
        <v>1715563</v>
      </c>
      <c r="I13" s="43">
        <f t="shared" si="0"/>
        <v>111314956</v>
      </c>
      <c r="J13" s="43">
        <f t="shared" si="0"/>
        <v>1544008</v>
      </c>
      <c r="K13" s="43">
        <f t="shared" si="0"/>
        <v>11460133</v>
      </c>
      <c r="L13" s="43">
        <f t="shared" si="0"/>
        <v>-9178948</v>
      </c>
    </row>
    <row r="15" spans="1:9" ht="12.75">
      <c r="A15" s="6" t="s">
        <v>2</v>
      </c>
      <c r="E15" s="15">
        <f>States!C11</f>
        <v>1091488</v>
      </c>
      <c r="H15" s="15">
        <f>SUM($G16:$G18)</f>
        <v>6116</v>
      </c>
      <c r="I15" s="15">
        <f>$E15-$H15</f>
        <v>1085372</v>
      </c>
    </row>
    <row r="16" spans="1:12" ht="12.75">
      <c r="A16" s="7" t="s">
        <v>84</v>
      </c>
      <c r="B16" s="7">
        <v>449603</v>
      </c>
      <c r="C16" s="7">
        <v>19</v>
      </c>
      <c r="D16" s="14" t="s">
        <v>85</v>
      </c>
      <c r="E16" s="15"/>
      <c r="F16" s="31">
        <f>+C16/B16</f>
        <v>4.226E-05</v>
      </c>
      <c r="G16" s="15">
        <f>ROUND(+$E$15*F16,0)</f>
        <v>46</v>
      </c>
      <c r="J16" s="7">
        <f>+G16*0.9</f>
        <v>41</v>
      </c>
      <c r="K16" s="12">
        <v>498</v>
      </c>
      <c r="L16" s="7">
        <f>+J16-K16</f>
        <v>-457</v>
      </c>
    </row>
    <row r="17" spans="1:12" ht="12.75">
      <c r="A17" s="6" t="s">
        <v>86</v>
      </c>
      <c r="B17" s="32">
        <v>449603</v>
      </c>
      <c r="C17" s="6" t="s">
        <v>54</v>
      </c>
      <c r="D17" s="14" t="s">
        <v>87</v>
      </c>
      <c r="E17" s="15"/>
      <c r="F17" s="33">
        <v>0.00317</v>
      </c>
      <c r="G17" s="15">
        <f>ROUND(+$E$15*F17,0)</f>
        <v>3460</v>
      </c>
      <c r="I17" s="15"/>
      <c r="J17" s="7">
        <f aca="true" t="shared" si="1" ref="J17:J73">+G17*0.9</f>
        <v>3114</v>
      </c>
      <c r="K17" s="12">
        <v>37360</v>
      </c>
      <c r="L17" s="7">
        <f aca="true" t="shared" si="2" ref="L17:L73">+J17-K17</f>
        <v>-34246</v>
      </c>
    </row>
    <row r="18" spans="1:12" ht="12.75">
      <c r="A18" s="6" t="s">
        <v>88</v>
      </c>
      <c r="B18" s="32">
        <v>449603</v>
      </c>
      <c r="C18" s="32">
        <v>1075</v>
      </c>
      <c r="D18" s="14" t="s">
        <v>89</v>
      </c>
      <c r="E18" s="15"/>
      <c r="F18" s="33">
        <f>$C18/$B18</f>
        <v>0.002391</v>
      </c>
      <c r="G18" s="15">
        <f>ROUND(+$E$15*F18,0)</f>
        <v>2610</v>
      </c>
      <c r="I18" s="15"/>
      <c r="J18" s="7">
        <f t="shared" si="1"/>
        <v>2349</v>
      </c>
      <c r="K18" s="12">
        <v>28179</v>
      </c>
      <c r="L18" s="7">
        <f t="shared" si="2"/>
        <v>-25830</v>
      </c>
    </row>
    <row r="19" spans="5:12" ht="12.75">
      <c r="E19" s="15"/>
      <c r="G19" s="15"/>
      <c r="J19" s="7" t="s">
        <v>54</v>
      </c>
      <c r="L19" s="7" t="s">
        <v>54</v>
      </c>
    </row>
    <row r="20" spans="1:12" ht="12.75">
      <c r="A20" s="6" t="s">
        <v>90</v>
      </c>
      <c r="E20" s="15">
        <f>States!C12</f>
        <v>1514935</v>
      </c>
      <c r="F20" s="33"/>
      <c r="H20" s="15">
        <f>SUM(G21:G28)</f>
        <v>215252</v>
      </c>
      <c r="I20" s="15">
        <f>E20-H20</f>
        <v>1299683</v>
      </c>
      <c r="J20" s="7" t="s">
        <v>54</v>
      </c>
      <c r="L20" s="7" t="s">
        <v>54</v>
      </c>
    </row>
    <row r="21" spans="1:12" ht="12.75">
      <c r="A21" s="6" t="s">
        <v>91</v>
      </c>
      <c r="B21" s="32">
        <v>37808</v>
      </c>
      <c r="C21" s="34">
        <v>164</v>
      </c>
      <c r="D21" s="14" t="s">
        <v>128</v>
      </c>
      <c r="E21" s="15"/>
      <c r="F21" s="33">
        <f aca="true" t="shared" si="3" ref="F21:F28">C21/B21</f>
        <v>0.00433771</v>
      </c>
      <c r="G21" s="15">
        <f>ROUND(+F21*$E$20,0)</f>
        <v>6571</v>
      </c>
      <c r="I21" s="6" t="s">
        <v>54</v>
      </c>
      <c r="J21" s="7">
        <f t="shared" si="1"/>
        <v>5914</v>
      </c>
      <c r="K21" s="12">
        <v>32633</v>
      </c>
      <c r="L21" s="7">
        <f t="shared" si="2"/>
        <v>-26719</v>
      </c>
    </row>
    <row r="22" spans="1:12" ht="12.75">
      <c r="A22" s="6" t="s">
        <v>92</v>
      </c>
      <c r="B22" s="32">
        <v>37808</v>
      </c>
      <c r="C22" s="34">
        <v>2029</v>
      </c>
      <c r="D22" s="14" t="s">
        <v>85</v>
      </c>
      <c r="E22" s="15"/>
      <c r="F22" s="33">
        <f t="shared" si="3"/>
        <v>0.05366589</v>
      </c>
      <c r="G22" s="15">
        <f aca="true" t="shared" si="4" ref="G22:G27">ROUND(+F22*$E$20,0)</f>
        <v>81300</v>
      </c>
      <c r="I22" s="6" t="s">
        <v>54</v>
      </c>
      <c r="J22" s="7">
        <f t="shared" si="1"/>
        <v>73170</v>
      </c>
      <c r="K22" s="12">
        <v>403728</v>
      </c>
      <c r="L22" s="7">
        <f t="shared" si="2"/>
        <v>-330558</v>
      </c>
    </row>
    <row r="23" spans="1:12" ht="12.75">
      <c r="A23" s="6" t="s">
        <v>93</v>
      </c>
      <c r="B23" s="32">
        <v>37808</v>
      </c>
      <c r="C23" s="34">
        <v>111</v>
      </c>
      <c r="D23" s="14" t="s">
        <v>128</v>
      </c>
      <c r="E23" s="15"/>
      <c r="F23" s="33">
        <f t="shared" si="3"/>
        <v>0.00293589</v>
      </c>
      <c r="G23" s="15">
        <f>ROUND(+F23*$E$20,0)</f>
        <v>4448</v>
      </c>
      <c r="J23" s="7">
        <f t="shared" si="1"/>
        <v>4003</v>
      </c>
      <c r="K23" s="35">
        <v>22087</v>
      </c>
      <c r="L23" s="7">
        <f t="shared" si="2"/>
        <v>-18084</v>
      </c>
    </row>
    <row r="24" spans="1:12" ht="12.75">
      <c r="A24" s="6" t="s">
        <v>94</v>
      </c>
      <c r="B24" s="32">
        <v>37808</v>
      </c>
      <c r="C24" s="34">
        <v>229</v>
      </c>
      <c r="D24" s="14" t="s">
        <v>85</v>
      </c>
      <c r="E24" s="15"/>
      <c r="F24" s="33">
        <f t="shared" si="3"/>
        <v>0.00605692</v>
      </c>
      <c r="G24" s="15">
        <f t="shared" si="4"/>
        <v>9176</v>
      </c>
      <c r="I24" s="6" t="s">
        <v>54</v>
      </c>
      <c r="J24" s="7">
        <f t="shared" si="1"/>
        <v>8258</v>
      </c>
      <c r="K24" s="12">
        <v>45566</v>
      </c>
      <c r="L24" s="7">
        <f t="shared" si="2"/>
        <v>-37308</v>
      </c>
    </row>
    <row r="25" spans="1:12" ht="12.75">
      <c r="A25" s="6" t="s">
        <v>95</v>
      </c>
      <c r="B25" s="32">
        <v>37808</v>
      </c>
      <c r="C25" s="34">
        <v>275</v>
      </c>
      <c r="D25" s="14" t="s">
        <v>85</v>
      </c>
      <c r="E25" s="15"/>
      <c r="F25" s="33">
        <f t="shared" si="3"/>
        <v>0.00727359</v>
      </c>
      <c r="G25" s="15">
        <f t="shared" si="4"/>
        <v>11019</v>
      </c>
      <c r="J25" s="7">
        <f t="shared" si="1"/>
        <v>9917</v>
      </c>
      <c r="K25" s="12">
        <v>54719</v>
      </c>
      <c r="L25" s="7">
        <f t="shared" si="2"/>
        <v>-44802</v>
      </c>
    </row>
    <row r="26" spans="1:12" ht="12.75">
      <c r="A26" s="6" t="s">
        <v>96</v>
      </c>
      <c r="B26" s="32">
        <v>37808</v>
      </c>
      <c r="C26" s="34">
        <v>8</v>
      </c>
      <c r="D26" s="14" t="s">
        <v>128</v>
      </c>
      <c r="E26" s="15"/>
      <c r="F26" s="33">
        <f t="shared" si="3"/>
        <v>0.0002116</v>
      </c>
      <c r="G26" s="15">
        <f>ROUND(+F26*$E$20,0)</f>
        <v>321</v>
      </c>
      <c r="J26" s="7">
        <f t="shared" si="1"/>
        <v>289</v>
      </c>
      <c r="K26" s="12">
        <v>1592</v>
      </c>
      <c r="L26" s="7">
        <f t="shared" si="2"/>
        <v>-1303</v>
      </c>
    </row>
    <row r="27" spans="1:12" ht="12.75">
      <c r="A27" s="6" t="s">
        <v>97</v>
      </c>
      <c r="B27" s="32">
        <v>37808</v>
      </c>
      <c r="C27" s="34">
        <v>1385</v>
      </c>
      <c r="D27" s="14" t="s">
        <v>85</v>
      </c>
      <c r="E27" s="15"/>
      <c r="F27" s="33">
        <f t="shared" si="3"/>
        <v>0.03663246</v>
      </c>
      <c r="G27" s="15">
        <f t="shared" si="4"/>
        <v>55496</v>
      </c>
      <c r="J27" s="7">
        <f t="shared" si="1"/>
        <v>49946</v>
      </c>
      <c r="K27" s="12">
        <v>275585</v>
      </c>
      <c r="L27" s="7">
        <f t="shared" si="2"/>
        <v>-225639</v>
      </c>
    </row>
    <row r="28" spans="1:12" ht="12.75">
      <c r="A28" s="6" t="s">
        <v>98</v>
      </c>
      <c r="B28" s="32">
        <v>37808</v>
      </c>
      <c r="C28" s="34">
        <v>1171</v>
      </c>
      <c r="D28" s="14" t="s">
        <v>128</v>
      </c>
      <c r="E28" s="15"/>
      <c r="F28" s="33">
        <f t="shared" si="3"/>
        <v>0.03097228</v>
      </c>
      <c r="G28" s="15">
        <f>ROUND(+F28*$E$20,0)</f>
        <v>46921</v>
      </c>
      <c r="I28" s="6" t="s">
        <v>54</v>
      </c>
      <c r="J28" s="7">
        <f t="shared" si="1"/>
        <v>42229</v>
      </c>
      <c r="K28" s="12">
        <v>233004</v>
      </c>
      <c r="L28" s="7">
        <f t="shared" si="2"/>
        <v>-190775</v>
      </c>
    </row>
    <row r="29" spans="10:12" ht="12.75">
      <c r="J29" s="7" t="s">
        <v>54</v>
      </c>
      <c r="L29" s="7" t="s">
        <v>54</v>
      </c>
    </row>
    <row r="30" spans="1:12" ht="12.75">
      <c r="A30" s="6" t="s">
        <v>4</v>
      </c>
      <c r="E30" s="15">
        <f>States!C13</f>
        <v>503246</v>
      </c>
      <c r="F30" s="33">
        <f>SUM(F31:F38)</f>
        <v>0.07542748</v>
      </c>
      <c r="H30" s="15">
        <f>SUM(G31:G39)</f>
        <v>40889</v>
      </c>
      <c r="I30" s="15">
        <f>E30-H30</f>
        <v>462357</v>
      </c>
      <c r="J30" s="7" t="s">
        <v>54</v>
      </c>
      <c r="L30" s="7" t="s">
        <v>54</v>
      </c>
    </row>
    <row r="31" spans="1:12" ht="12.75">
      <c r="A31" s="6" t="s">
        <v>99</v>
      </c>
      <c r="B31" s="32">
        <v>343522</v>
      </c>
      <c r="C31" s="34">
        <v>228</v>
      </c>
      <c r="D31" s="14" t="s">
        <v>89</v>
      </c>
      <c r="F31" s="33">
        <f>C31/B31</f>
        <v>0.00066371</v>
      </c>
      <c r="G31" s="15">
        <f>ROUND(+$E$30*F31,0)</f>
        <v>334</v>
      </c>
      <c r="J31" s="7">
        <f t="shared" si="1"/>
        <v>301</v>
      </c>
      <c r="K31" s="12">
        <v>3783</v>
      </c>
      <c r="L31" s="7">
        <f t="shared" si="2"/>
        <v>-3482</v>
      </c>
    </row>
    <row r="32" spans="1:12" ht="12.75">
      <c r="A32" s="6" t="s">
        <v>100</v>
      </c>
      <c r="B32" s="32">
        <v>343522</v>
      </c>
      <c r="C32" s="34">
        <v>680</v>
      </c>
      <c r="D32" s="14" t="s">
        <v>89</v>
      </c>
      <c r="E32" s="15"/>
      <c r="F32" s="33">
        <f>C32/B32</f>
        <v>0.00197949</v>
      </c>
      <c r="G32" s="15">
        <f>ROUND(+$E$30*F32,0)</f>
        <v>996</v>
      </c>
      <c r="J32" s="7">
        <f t="shared" si="1"/>
        <v>896</v>
      </c>
      <c r="K32" s="12">
        <v>11282</v>
      </c>
      <c r="L32" s="7">
        <f t="shared" si="2"/>
        <v>-10386</v>
      </c>
    </row>
    <row r="33" spans="1:12" ht="12.75">
      <c r="A33" s="6" t="s">
        <v>101</v>
      </c>
      <c r="B33" s="32">
        <v>343522</v>
      </c>
      <c r="C33" s="34">
        <v>2301</v>
      </c>
      <c r="D33" s="14" t="s">
        <v>89</v>
      </c>
      <c r="E33" s="15"/>
      <c r="F33" s="33">
        <f aca="true" t="shared" si="5" ref="F33:F38">C33/B33</f>
        <v>0.00669826</v>
      </c>
      <c r="G33" s="15">
        <f aca="true" t="shared" si="6" ref="G33:G39">ROUND(+$E$30*F33,0)</f>
        <v>3371</v>
      </c>
      <c r="J33" s="7">
        <f t="shared" si="1"/>
        <v>3034</v>
      </c>
      <c r="K33" s="12">
        <v>38178</v>
      </c>
      <c r="L33" s="7">
        <f t="shared" si="2"/>
        <v>-35144</v>
      </c>
    </row>
    <row r="34" spans="1:12" ht="12.75">
      <c r="A34" s="6" t="s">
        <v>102</v>
      </c>
      <c r="B34" s="32">
        <v>343522</v>
      </c>
      <c r="C34" s="34">
        <v>19524</v>
      </c>
      <c r="D34" s="14" t="s">
        <v>89</v>
      </c>
      <c r="E34" s="15"/>
      <c r="F34" s="33">
        <f t="shared" si="5"/>
        <v>0.05683479</v>
      </c>
      <c r="G34" s="15">
        <f t="shared" si="6"/>
        <v>28602</v>
      </c>
      <c r="J34" s="7">
        <f t="shared" si="1"/>
        <v>25742</v>
      </c>
      <c r="K34" s="12">
        <v>0</v>
      </c>
      <c r="L34" s="7" t="s">
        <v>54</v>
      </c>
    </row>
    <row r="35" spans="1:12" ht="12.75">
      <c r="A35" s="6" t="s">
        <v>103</v>
      </c>
      <c r="B35" s="32">
        <v>343522</v>
      </c>
      <c r="C35" s="34">
        <v>879</v>
      </c>
      <c r="D35" s="14" t="s">
        <v>89</v>
      </c>
      <c r="E35" s="15"/>
      <c r="F35" s="33">
        <f t="shared" si="5"/>
        <v>0.00255879</v>
      </c>
      <c r="G35" s="15">
        <f t="shared" si="6"/>
        <v>1288</v>
      </c>
      <c r="J35" s="7">
        <f t="shared" si="1"/>
        <v>1159</v>
      </c>
      <c r="K35" s="12">
        <v>14584</v>
      </c>
      <c r="L35" s="7">
        <f t="shared" si="2"/>
        <v>-13425</v>
      </c>
    </row>
    <row r="36" spans="1:12" ht="12.75">
      <c r="A36" s="6" t="s">
        <v>104</v>
      </c>
      <c r="B36" s="32">
        <v>343522</v>
      </c>
      <c r="C36" s="34">
        <v>50</v>
      </c>
      <c r="D36" s="14" t="s">
        <v>89</v>
      </c>
      <c r="E36" s="15"/>
      <c r="F36" s="33">
        <f t="shared" si="5"/>
        <v>0.00014555</v>
      </c>
      <c r="G36" s="15">
        <f t="shared" si="6"/>
        <v>73</v>
      </c>
      <c r="J36" s="7">
        <f t="shared" si="1"/>
        <v>66</v>
      </c>
      <c r="K36" s="12">
        <v>830</v>
      </c>
      <c r="L36" s="7">
        <f t="shared" si="2"/>
        <v>-764</v>
      </c>
    </row>
    <row r="37" spans="1:12" ht="12.75">
      <c r="A37" s="6" t="s">
        <v>221</v>
      </c>
      <c r="B37" s="32">
        <v>343522</v>
      </c>
      <c r="C37" s="34">
        <v>849</v>
      </c>
      <c r="D37" s="14" t="s">
        <v>89</v>
      </c>
      <c r="E37" s="15"/>
      <c r="F37" s="33">
        <f t="shared" si="5"/>
        <v>0.00247146</v>
      </c>
      <c r="G37" s="15">
        <f t="shared" si="6"/>
        <v>1244</v>
      </c>
      <c r="J37" s="7">
        <f t="shared" si="1"/>
        <v>1120</v>
      </c>
      <c r="K37" s="12">
        <v>14086</v>
      </c>
      <c r="L37" s="7">
        <f t="shared" si="2"/>
        <v>-12966</v>
      </c>
    </row>
    <row r="38" spans="1:12" ht="12.75">
      <c r="A38" s="6" t="s">
        <v>105</v>
      </c>
      <c r="B38" s="32">
        <v>343522</v>
      </c>
      <c r="C38" s="34">
        <v>1400</v>
      </c>
      <c r="D38" s="14" t="s">
        <v>89</v>
      </c>
      <c r="F38" s="33">
        <f t="shared" si="5"/>
        <v>0.00407543</v>
      </c>
      <c r="G38" s="15">
        <f t="shared" si="6"/>
        <v>2051</v>
      </c>
      <c r="J38" s="7">
        <f t="shared" si="1"/>
        <v>1846</v>
      </c>
      <c r="K38" s="12">
        <v>0</v>
      </c>
      <c r="L38" s="7" t="s">
        <v>54</v>
      </c>
    </row>
    <row r="39" spans="1:12" ht="12.75">
      <c r="A39" s="6" t="s">
        <v>225</v>
      </c>
      <c r="B39" s="32">
        <v>343522</v>
      </c>
      <c r="C39" s="34">
        <v>2000</v>
      </c>
      <c r="D39" s="14" t="s">
        <v>89</v>
      </c>
      <c r="F39" s="33">
        <f>C39/B39</f>
        <v>0.00582204</v>
      </c>
      <c r="G39" s="15">
        <f t="shared" si="6"/>
        <v>2930</v>
      </c>
      <c r="J39" s="7">
        <f t="shared" si="1"/>
        <v>2637</v>
      </c>
      <c r="K39" s="12">
        <v>33184</v>
      </c>
      <c r="L39" s="7">
        <f t="shared" si="2"/>
        <v>-30547</v>
      </c>
    </row>
    <row r="40" spans="1:12" ht="12.75">
      <c r="A40" s="6"/>
      <c r="B40" s="32"/>
      <c r="C40" s="36"/>
      <c r="D40" s="14"/>
      <c r="E40" s="15"/>
      <c r="F40" s="33"/>
      <c r="G40" s="15"/>
      <c r="J40" s="7" t="s">
        <v>54</v>
      </c>
      <c r="L40" s="7" t="s">
        <v>54</v>
      </c>
    </row>
    <row r="41" spans="1:12" ht="12.75">
      <c r="A41" s="6" t="s">
        <v>106</v>
      </c>
      <c r="E41" s="15">
        <f>States!C15</f>
        <v>5588894</v>
      </c>
      <c r="F41" s="33">
        <f>SUM(F42:F67)</f>
        <v>0.00719155</v>
      </c>
      <c r="H41" s="15">
        <f>SUM(G42:G67)</f>
        <v>40193</v>
      </c>
      <c r="I41" s="15">
        <f>E41-H41</f>
        <v>5548701</v>
      </c>
      <c r="J41" s="7" t="s">
        <v>54</v>
      </c>
      <c r="L41" s="7" t="s">
        <v>54</v>
      </c>
    </row>
    <row r="42" spans="1:12" ht="12.75">
      <c r="A42" s="6" t="s">
        <v>107</v>
      </c>
      <c r="B42" s="32">
        <v>1659723</v>
      </c>
      <c r="C42" s="34">
        <v>130</v>
      </c>
      <c r="D42" s="14" t="s">
        <v>89</v>
      </c>
      <c r="E42" s="15"/>
      <c r="F42" s="33">
        <f aca="true" t="shared" si="7" ref="F42:F62">C42/B42</f>
        <v>7.833E-05</v>
      </c>
      <c r="G42" s="15">
        <f>ROUND(+$E$41*F42,0)</f>
        <v>438</v>
      </c>
      <c r="I42" s="15"/>
      <c r="J42" s="7">
        <f t="shared" si="1"/>
        <v>394</v>
      </c>
      <c r="K42" s="12">
        <v>4952</v>
      </c>
      <c r="L42" s="7">
        <f t="shared" si="2"/>
        <v>-4558</v>
      </c>
    </row>
    <row r="43" spans="1:12" ht="12.75">
      <c r="A43" s="6" t="s">
        <v>108</v>
      </c>
      <c r="B43" s="32">
        <v>1659723</v>
      </c>
      <c r="C43" s="34">
        <v>24</v>
      </c>
      <c r="D43" s="14" t="s">
        <v>89</v>
      </c>
      <c r="E43" s="15"/>
      <c r="F43" s="33">
        <f t="shared" si="7"/>
        <v>1.446E-05</v>
      </c>
      <c r="G43" s="15">
        <f>ROUND(+$E$41*F43,0)</f>
        <v>81</v>
      </c>
      <c r="J43" s="7">
        <f t="shared" si="1"/>
        <v>73</v>
      </c>
      <c r="K43" s="12">
        <v>914</v>
      </c>
      <c r="L43" s="7">
        <f t="shared" si="2"/>
        <v>-841</v>
      </c>
    </row>
    <row r="44" spans="1:12" ht="12.75">
      <c r="A44" s="6" t="s">
        <v>109</v>
      </c>
      <c r="B44" s="32">
        <v>1659723</v>
      </c>
      <c r="C44" s="34">
        <v>108</v>
      </c>
      <c r="D44" s="14" t="s">
        <v>89</v>
      </c>
      <c r="E44" s="15"/>
      <c r="F44" s="33">
        <f t="shared" si="7"/>
        <v>6.507E-05</v>
      </c>
      <c r="G44" s="15">
        <f>ROUND(+$E$41*F44,0)</f>
        <v>364</v>
      </c>
      <c r="I44" s="15"/>
      <c r="J44" s="7">
        <f t="shared" si="1"/>
        <v>328</v>
      </c>
      <c r="K44" s="12">
        <v>4114</v>
      </c>
      <c r="L44" s="7">
        <f t="shared" si="2"/>
        <v>-3786</v>
      </c>
    </row>
    <row r="45" spans="1:12" ht="12.75">
      <c r="A45" s="6" t="s">
        <v>110</v>
      </c>
      <c r="B45" s="32">
        <v>1659723</v>
      </c>
      <c r="C45" s="34">
        <v>50</v>
      </c>
      <c r="D45" s="14" t="s">
        <v>89</v>
      </c>
      <c r="F45" s="33">
        <f t="shared" si="7"/>
        <v>3.013E-05</v>
      </c>
      <c r="G45" s="15">
        <f aca="true" t="shared" si="8" ref="G45:G62">ROUND(+$E$41*F45,0)</f>
        <v>168</v>
      </c>
      <c r="J45" s="7">
        <f t="shared" si="1"/>
        <v>151</v>
      </c>
      <c r="K45" s="12">
        <v>1905</v>
      </c>
      <c r="L45" s="7">
        <f t="shared" si="2"/>
        <v>-1754</v>
      </c>
    </row>
    <row r="46" spans="1:12" ht="12.75">
      <c r="A46" s="6" t="s">
        <v>111</v>
      </c>
      <c r="B46" s="32">
        <v>1659723</v>
      </c>
      <c r="C46" s="34">
        <v>896</v>
      </c>
      <c r="D46" s="14" t="s">
        <v>89</v>
      </c>
      <c r="E46" s="15"/>
      <c r="F46" s="33">
        <f>C46/B46</f>
        <v>0.00053985</v>
      </c>
      <c r="G46" s="15">
        <f>ROUND(+$E$41*F46,0)</f>
        <v>3017</v>
      </c>
      <c r="J46" s="7">
        <f t="shared" si="1"/>
        <v>2715</v>
      </c>
      <c r="K46" s="12">
        <v>34133</v>
      </c>
      <c r="L46" s="7">
        <f t="shared" si="2"/>
        <v>-31418</v>
      </c>
    </row>
    <row r="47" spans="1:12" ht="12.75">
      <c r="A47" s="6" t="s">
        <v>226</v>
      </c>
      <c r="B47" s="32">
        <v>1659723</v>
      </c>
      <c r="C47" s="34">
        <v>136</v>
      </c>
      <c r="D47" s="14" t="s">
        <v>89</v>
      </c>
      <c r="F47" s="33">
        <f>C47/B47</f>
        <v>8.194E-05</v>
      </c>
      <c r="G47" s="15">
        <f t="shared" si="8"/>
        <v>458</v>
      </c>
      <c r="J47" s="7">
        <f t="shared" si="1"/>
        <v>412</v>
      </c>
      <c r="K47" s="12">
        <v>0</v>
      </c>
      <c r="L47" s="7" t="s">
        <v>54</v>
      </c>
    </row>
    <row r="48" spans="1:12" ht="12.75">
      <c r="A48" s="6" t="s">
        <v>112</v>
      </c>
      <c r="B48" s="32">
        <v>1659723</v>
      </c>
      <c r="C48" s="34">
        <v>838</v>
      </c>
      <c r="D48" s="14" t="s">
        <v>89</v>
      </c>
      <c r="E48" s="15"/>
      <c r="F48" s="33">
        <f t="shared" si="7"/>
        <v>0.0005049</v>
      </c>
      <c r="G48" s="15">
        <f t="shared" si="8"/>
        <v>2822</v>
      </c>
      <c r="I48" s="15"/>
      <c r="J48" s="7">
        <f t="shared" si="1"/>
        <v>2540</v>
      </c>
      <c r="K48" s="12">
        <v>31923</v>
      </c>
      <c r="L48" s="7">
        <f t="shared" si="2"/>
        <v>-29383</v>
      </c>
    </row>
    <row r="49" spans="1:12" ht="12.75">
      <c r="A49" s="6" t="s">
        <v>113</v>
      </c>
      <c r="B49" s="32">
        <v>1659723</v>
      </c>
      <c r="C49" s="34">
        <v>650</v>
      </c>
      <c r="D49" s="14" t="s">
        <v>89</v>
      </c>
      <c r="E49" s="15"/>
      <c r="F49" s="33">
        <f t="shared" si="7"/>
        <v>0.00039163</v>
      </c>
      <c r="G49" s="15">
        <f t="shared" si="8"/>
        <v>2189</v>
      </c>
      <c r="I49" s="15"/>
      <c r="J49" s="7">
        <f t="shared" si="1"/>
        <v>1970</v>
      </c>
      <c r="K49" s="12">
        <v>0</v>
      </c>
      <c r="L49" s="7" t="s">
        <v>54</v>
      </c>
    </row>
    <row r="50" spans="1:12" ht="12.75">
      <c r="A50" s="6" t="s">
        <v>114</v>
      </c>
      <c r="B50" s="32">
        <v>1659723</v>
      </c>
      <c r="C50" s="34">
        <v>371</v>
      </c>
      <c r="D50" s="14" t="s">
        <v>89</v>
      </c>
      <c r="E50" s="15"/>
      <c r="F50" s="33">
        <f t="shared" si="7"/>
        <v>0.00022353</v>
      </c>
      <c r="G50" s="15">
        <f t="shared" si="8"/>
        <v>1249</v>
      </c>
      <c r="I50" s="15"/>
      <c r="J50" s="7">
        <f t="shared" si="1"/>
        <v>1124</v>
      </c>
      <c r="K50" s="12">
        <v>14133</v>
      </c>
      <c r="L50" s="7">
        <f t="shared" si="2"/>
        <v>-13009</v>
      </c>
    </row>
    <row r="51" spans="1:12" ht="12.75">
      <c r="A51" s="6" t="s">
        <v>224</v>
      </c>
      <c r="B51" s="32">
        <v>1659723</v>
      </c>
      <c r="C51" s="34">
        <v>2476</v>
      </c>
      <c r="D51" s="14" t="s">
        <v>89</v>
      </c>
      <c r="E51" s="15"/>
      <c r="F51" s="33">
        <f>C51/B51</f>
        <v>0.00149182</v>
      </c>
      <c r="G51" s="15">
        <f t="shared" si="8"/>
        <v>8338</v>
      </c>
      <c r="I51" s="15"/>
      <c r="J51" s="7">
        <f t="shared" si="1"/>
        <v>7504</v>
      </c>
      <c r="K51" s="12">
        <v>94322</v>
      </c>
      <c r="L51" s="7">
        <f t="shared" si="2"/>
        <v>-86818</v>
      </c>
    </row>
    <row r="52" spans="1:12" ht="12.75">
      <c r="A52" s="6" t="s">
        <v>220</v>
      </c>
      <c r="B52" s="32">
        <v>1659723</v>
      </c>
      <c r="C52" s="34">
        <v>227</v>
      </c>
      <c r="D52" s="14" t="s">
        <v>89</v>
      </c>
      <c r="E52" s="15"/>
      <c r="F52" s="33">
        <f>C52/B52</f>
        <v>0.00013677</v>
      </c>
      <c r="G52" s="15">
        <f t="shared" si="8"/>
        <v>764</v>
      </c>
      <c r="I52" s="15"/>
      <c r="J52" s="7">
        <f t="shared" si="1"/>
        <v>688</v>
      </c>
      <c r="K52" s="12">
        <v>0</v>
      </c>
      <c r="L52" s="7" t="s">
        <v>54</v>
      </c>
    </row>
    <row r="53" spans="1:12" ht="12.75">
      <c r="A53" s="6" t="s">
        <v>115</v>
      </c>
      <c r="B53" s="32">
        <v>1659723</v>
      </c>
      <c r="C53" s="34">
        <v>82</v>
      </c>
      <c r="D53" s="14" t="s">
        <v>87</v>
      </c>
      <c r="E53" s="15"/>
      <c r="F53" s="33">
        <v>0.0001</v>
      </c>
      <c r="G53" s="15">
        <f t="shared" si="8"/>
        <v>559</v>
      </c>
      <c r="J53" s="7">
        <f t="shared" si="1"/>
        <v>503</v>
      </c>
      <c r="K53" s="12">
        <v>6323</v>
      </c>
      <c r="L53" s="7">
        <f t="shared" si="2"/>
        <v>-5820</v>
      </c>
    </row>
    <row r="54" spans="1:12" ht="12.75">
      <c r="A54" s="6" t="s">
        <v>116</v>
      </c>
      <c r="B54" s="32">
        <v>1659723</v>
      </c>
      <c r="C54" s="34">
        <v>779</v>
      </c>
      <c r="D54" s="14" t="s">
        <v>89</v>
      </c>
      <c r="E54" s="15"/>
      <c r="F54" s="33">
        <f>C54/B54</f>
        <v>0.00046936</v>
      </c>
      <c r="G54" s="15">
        <f t="shared" si="8"/>
        <v>2623</v>
      </c>
      <c r="I54" s="15"/>
      <c r="J54" s="7">
        <f t="shared" si="1"/>
        <v>2361</v>
      </c>
      <c r="K54" s="12">
        <v>29676</v>
      </c>
      <c r="L54" s="7">
        <f t="shared" si="2"/>
        <v>-27315</v>
      </c>
    </row>
    <row r="55" spans="1:12" ht="12.75">
      <c r="A55" s="6" t="s">
        <v>242</v>
      </c>
      <c r="B55" s="32">
        <v>1659723</v>
      </c>
      <c r="C55" s="34">
        <v>78</v>
      </c>
      <c r="D55" s="14" t="s">
        <v>89</v>
      </c>
      <c r="E55" s="15"/>
      <c r="F55" s="33">
        <f>C55/B55</f>
        <v>4.7E-05</v>
      </c>
      <c r="G55" s="15">
        <f t="shared" si="8"/>
        <v>263</v>
      </c>
      <c r="I55" s="15"/>
      <c r="J55" s="7">
        <f t="shared" si="1"/>
        <v>237</v>
      </c>
      <c r="K55" s="12">
        <v>0</v>
      </c>
      <c r="L55" s="7" t="s">
        <v>54</v>
      </c>
    </row>
    <row r="56" spans="1:12" ht="12.75">
      <c r="A56" s="6" t="s">
        <v>117</v>
      </c>
      <c r="B56" s="32">
        <v>1659723</v>
      </c>
      <c r="C56" s="34">
        <v>375</v>
      </c>
      <c r="D56" s="14" t="s">
        <v>89</v>
      </c>
      <c r="E56" s="15"/>
      <c r="F56" s="33">
        <f t="shared" si="7"/>
        <v>0.00022594</v>
      </c>
      <c r="G56" s="15">
        <f t="shared" si="8"/>
        <v>1263</v>
      </c>
      <c r="J56" s="7">
        <f t="shared" si="1"/>
        <v>1137</v>
      </c>
      <c r="K56" s="12">
        <v>14285</v>
      </c>
      <c r="L56" s="7">
        <f t="shared" si="2"/>
        <v>-13148</v>
      </c>
    </row>
    <row r="57" spans="1:12" ht="12.75">
      <c r="A57" s="6" t="s">
        <v>118</v>
      </c>
      <c r="B57" s="32">
        <v>1659723</v>
      </c>
      <c r="C57" s="34">
        <v>962</v>
      </c>
      <c r="D57" s="14" t="s">
        <v>89</v>
      </c>
      <c r="E57" s="15"/>
      <c r="F57" s="33">
        <f t="shared" si="7"/>
        <v>0.00057961</v>
      </c>
      <c r="G57" s="15">
        <f t="shared" si="8"/>
        <v>3239</v>
      </c>
      <c r="J57" s="7">
        <f t="shared" si="1"/>
        <v>2915</v>
      </c>
      <c r="K57" s="12">
        <v>36646</v>
      </c>
      <c r="L57" s="7">
        <f t="shared" si="2"/>
        <v>-33731</v>
      </c>
    </row>
    <row r="58" spans="1:12" ht="12.75">
      <c r="A58" s="6" t="s">
        <v>222</v>
      </c>
      <c r="B58" s="32">
        <v>1659723</v>
      </c>
      <c r="C58" s="34">
        <v>44</v>
      </c>
      <c r="D58" s="14" t="s">
        <v>89</v>
      </c>
      <c r="E58" s="15"/>
      <c r="F58" s="33">
        <f>C58/B58</f>
        <v>2.651E-05</v>
      </c>
      <c r="G58" s="15">
        <f t="shared" si="8"/>
        <v>148</v>
      </c>
      <c r="J58" s="7">
        <f t="shared" si="1"/>
        <v>133</v>
      </c>
      <c r="K58" s="12">
        <v>1676</v>
      </c>
      <c r="L58" s="7">
        <f t="shared" si="2"/>
        <v>-1543</v>
      </c>
    </row>
    <row r="59" spans="1:12" ht="12.75">
      <c r="A59" s="6" t="s">
        <v>119</v>
      </c>
      <c r="B59" s="32">
        <v>1659723</v>
      </c>
      <c r="C59" s="34">
        <v>310</v>
      </c>
      <c r="D59" s="14" t="s">
        <v>89</v>
      </c>
      <c r="E59" s="15"/>
      <c r="F59" s="33">
        <f t="shared" si="7"/>
        <v>0.00018678</v>
      </c>
      <c r="G59" s="15">
        <f t="shared" si="8"/>
        <v>1044</v>
      </c>
      <c r="I59" s="15"/>
      <c r="J59" s="7">
        <f t="shared" si="1"/>
        <v>940</v>
      </c>
      <c r="K59" s="12">
        <v>11809</v>
      </c>
      <c r="L59" s="7">
        <f t="shared" si="2"/>
        <v>-10869</v>
      </c>
    </row>
    <row r="60" spans="1:12" ht="12.75">
      <c r="A60" s="6" t="s">
        <v>120</v>
      </c>
      <c r="B60" s="32">
        <v>1659723</v>
      </c>
      <c r="C60" s="34">
        <v>894</v>
      </c>
      <c r="D60" s="14" t="s">
        <v>89</v>
      </c>
      <c r="E60" s="15"/>
      <c r="F60" s="33">
        <f t="shared" si="7"/>
        <v>0.00053864</v>
      </c>
      <c r="G60" s="15">
        <f t="shared" si="8"/>
        <v>3010</v>
      </c>
      <c r="I60" s="15"/>
      <c r="J60" s="7">
        <f t="shared" si="1"/>
        <v>2709</v>
      </c>
      <c r="K60" s="12">
        <v>34056</v>
      </c>
      <c r="L60" s="7">
        <f t="shared" si="2"/>
        <v>-31347</v>
      </c>
    </row>
    <row r="61" spans="1:12" ht="12.75">
      <c r="A61" s="6" t="s">
        <v>121</v>
      </c>
      <c r="B61" s="32">
        <v>1659723</v>
      </c>
      <c r="C61" s="34">
        <v>575</v>
      </c>
      <c r="D61" s="14" t="s">
        <v>89</v>
      </c>
      <c r="E61" s="15"/>
      <c r="F61" s="33">
        <f t="shared" si="7"/>
        <v>0.00034644</v>
      </c>
      <c r="G61" s="15">
        <f t="shared" si="8"/>
        <v>1936</v>
      </c>
      <c r="J61" s="7">
        <f t="shared" si="1"/>
        <v>1742</v>
      </c>
      <c r="K61" s="12">
        <v>21904</v>
      </c>
      <c r="L61" s="7">
        <f t="shared" si="2"/>
        <v>-20162</v>
      </c>
    </row>
    <row r="62" spans="1:12" ht="12.75">
      <c r="A62" s="6" t="s">
        <v>122</v>
      </c>
      <c r="B62" s="32">
        <v>1659723</v>
      </c>
      <c r="C62" s="34">
        <v>309</v>
      </c>
      <c r="D62" s="14" t="s">
        <v>89</v>
      </c>
      <c r="E62" s="15"/>
      <c r="F62" s="33">
        <f t="shared" si="7"/>
        <v>0.00018618</v>
      </c>
      <c r="G62" s="15">
        <f t="shared" si="8"/>
        <v>1041</v>
      </c>
      <c r="J62" s="7">
        <f t="shared" si="1"/>
        <v>937</v>
      </c>
      <c r="K62" s="12">
        <v>0</v>
      </c>
      <c r="L62" s="7" t="s">
        <v>54</v>
      </c>
    </row>
    <row r="63" spans="1:12" ht="12.75">
      <c r="A63" s="6" t="s">
        <v>123</v>
      </c>
      <c r="B63" s="32">
        <v>1659723</v>
      </c>
      <c r="C63" s="34">
        <v>146</v>
      </c>
      <c r="D63" s="14" t="s">
        <v>89</v>
      </c>
      <c r="E63" s="15"/>
      <c r="F63" s="33">
        <f>C63/B63</f>
        <v>8.797E-05</v>
      </c>
      <c r="G63" s="15">
        <f>ROUND(+$E$41*F63,0)</f>
        <v>492</v>
      </c>
      <c r="I63" s="15"/>
      <c r="J63" s="7">
        <f t="shared" si="1"/>
        <v>443</v>
      </c>
      <c r="K63" s="12">
        <v>5562</v>
      </c>
      <c r="L63" s="7">
        <f t="shared" si="2"/>
        <v>-5119</v>
      </c>
    </row>
    <row r="64" spans="1:12" ht="12.75">
      <c r="A64" s="6" t="s">
        <v>124</v>
      </c>
      <c r="B64" s="32">
        <v>1659723</v>
      </c>
      <c r="C64" s="34">
        <v>101</v>
      </c>
      <c r="D64" s="14" t="s">
        <v>89</v>
      </c>
      <c r="E64" s="15"/>
      <c r="F64" s="33">
        <f>C64/B64</f>
        <v>6.085E-05</v>
      </c>
      <c r="G64" s="15">
        <f>ROUND(+$E$41*F64,0)</f>
        <v>340</v>
      </c>
      <c r="J64" s="7">
        <f t="shared" si="1"/>
        <v>306</v>
      </c>
      <c r="K64" s="12">
        <v>3847</v>
      </c>
      <c r="L64" s="7">
        <f t="shared" si="2"/>
        <v>-3541</v>
      </c>
    </row>
    <row r="65" spans="1:12" ht="12.75">
      <c r="A65" s="6" t="s">
        <v>125</v>
      </c>
      <c r="B65" s="32">
        <v>1659723</v>
      </c>
      <c r="C65" s="34">
        <v>85</v>
      </c>
      <c r="D65" s="14" t="s">
        <v>89</v>
      </c>
      <c r="E65" s="15"/>
      <c r="F65" s="33">
        <f>C65/B65</f>
        <v>5.121E-05</v>
      </c>
      <c r="G65" s="15">
        <f>ROUND(+$E$41*F65,0)</f>
        <v>286</v>
      </c>
      <c r="I65" s="15"/>
      <c r="J65" s="7">
        <f t="shared" si="1"/>
        <v>257</v>
      </c>
      <c r="K65" s="12">
        <v>0</v>
      </c>
      <c r="L65" s="7" t="s">
        <v>54</v>
      </c>
    </row>
    <row r="66" spans="1:12" ht="12.75">
      <c r="A66" s="6" t="s">
        <v>243</v>
      </c>
      <c r="B66" s="32">
        <v>1659723</v>
      </c>
      <c r="C66" s="34">
        <v>40</v>
      </c>
      <c r="D66" s="14" t="s">
        <v>89</v>
      </c>
      <c r="E66" s="15"/>
      <c r="F66" s="33">
        <f>C66/B66</f>
        <v>2.41E-05</v>
      </c>
      <c r="G66" s="15">
        <f>ROUND(+$E$41*F66,0)</f>
        <v>135</v>
      </c>
      <c r="I66" s="15"/>
      <c r="J66" s="7">
        <f t="shared" si="1"/>
        <v>122</v>
      </c>
      <c r="K66" s="12">
        <v>1524</v>
      </c>
      <c r="L66" s="7">
        <f t="shared" si="2"/>
        <v>-1402</v>
      </c>
    </row>
    <row r="67" spans="1:12" ht="12.75">
      <c r="A67" s="6" t="s">
        <v>126</v>
      </c>
      <c r="B67" s="32">
        <v>1659723</v>
      </c>
      <c r="C67" s="34">
        <v>1166</v>
      </c>
      <c r="D67" s="14" t="s">
        <v>89</v>
      </c>
      <c r="E67" s="15"/>
      <c r="F67" s="33">
        <f>C67/B67</f>
        <v>0.00070253</v>
      </c>
      <c r="G67" s="15">
        <f>ROUND(+$E$41*F67,0)</f>
        <v>3926</v>
      </c>
      <c r="J67" s="7">
        <f t="shared" si="1"/>
        <v>3533</v>
      </c>
      <c r="K67" s="12">
        <v>44418</v>
      </c>
      <c r="L67" s="7">
        <f t="shared" si="2"/>
        <v>-40885</v>
      </c>
    </row>
    <row r="68" spans="1:12" ht="12.75">
      <c r="A68" s="6"/>
      <c r="B68" s="32"/>
      <c r="C68" s="34"/>
      <c r="D68" s="14"/>
      <c r="E68" s="15"/>
      <c r="F68" s="33"/>
      <c r="G68" s="15"/>
      <c r="J68" s="7" t="s">
        <v>54</v>
      </c>
      <c r="L68" s="7" t="s">
        <v>54</v>
      </c>
    </row>
    <row r="69" spans="1:12" ht="12.75">
      <c r="A69" s="6" t="s">
        <v>7</v>
      </c>
      <c r="B69" s="32" t="s">
        <v>54</v>
      </c>
      <c r="C69" s="34"/>
      <c r="D69" s="14"/>
      <c r="E69" s="15">
        <f>+States!C16</f>
        <v>1953881</v>
      </c>
      <c r="F69" s="33"/>
      <c r="G69" s="15"/>
      <c r="H69" s="17">
        <f>G70</f>
        <v>5201</v>
      </c>
      <c r="I69" s="15">
        <f>$E69-$H69</f>
        <v>1948680</v>
      </c>
      <c r="J69" s="7" t="s">
        <v>54</v>
      </c>
      <c r="L69" s="7" t="s">
        <v>54</v>
      </c>
    </row>
    <row r="70" spans="1:12" ht="12.75">
      <c r="A70" s="7" t="s">
        <v>127</v>
      </c>
      <c r="B70" s="7">
        <v>303357</v>
      </c>
      <c r="C70" s="7">
        <v>165</v>
      </c>
      <c r="D70" s="5" t="s">
        <v>128</v>
      </c>
      <c r="F70" s="33">
        <f>25000/26864584</f>
        <v>0.00093059</v>
      </c>
      <c r="G70" s="15">
        <f>ROUND(+$E$41*F70,0)</f>
        <v>5201</v>
      </c>
      <c r="J70" s="7">
        <f t="shared" si="1"/>
        <v>4681</v>
      </c>
      <c r="K70" s="12">
        <v>0</v>
      </c>
      <c r="L70" s="7" t="s">
        <v>54</v>
      </c>
    </row>
    <row r="71" spans="4:12" ht="12.75">
      <c r="D71" s="5"/>
      <c r="G71" s="17"/>
      <c r="J71" s="7" t="s">
        <v>54</v>
      </c>
      <c r="L71" s="7" t="s">
        <v>54</v>
      </c>
    </row>
    <row r="72" spans="1:12" ht="12.75">
      <c r="A72" s="6" t="s">
        <v>11</v>
      </c>
      <c r="E72" s="15">
        <f>States!C20</f>
        <v>1942839</v>
      </c>
      <c r="H72" s="15">
        <f>G73</f>
        <v>498</v>
      </c>
      <c r="I72" s="15">
        <f>$E72-$H72</f>
        <v>1942341</v>
      </c>
      <c r="J72" s="7" t="s">
        <v>54</v>
      </c>
      <c r="L72" s="7" t="s">
        <v>54</v>
      </c>
    </row>
    <row r="73" spans="1:12" ht="12.75">
      <c r="A73" s="6" t="s">
        <v>129</v>
      </c>
      <c r="B73" s="32">
        <v>1205419</v>
      </c>
      <c r="C73" s="32">
        <v>309</v>
      </c>
      <c r="D73" s="14" t="s">
        <v>89</v>
      </c>
      <c r="E73" s="15"/>
      <c r="F73" s="33">
        <f>$C73/$B73</f>
        <v>0.00025634</v>
      </c>
      <c r="G73" s="15">
        <f>ROUND(+$E$72*F73,0)</f>
        <v>498</v>
      </c>
      <c r="I73" s="15"/>
      <c r="J73" s="7">
        <f t="shared" si="1"/>
        <v>448</v>
      </c>
      <c r="K73" s="12">
        <v>4780</v>
      </c>
      <c r="L73" s="7">
        <f t="shared" si="2"/>
        <v>-4332</v>
      </c>
    </row>
    <row r="74" spans="9:12" ht="12.75">
      <c r="I74" s="15"/>
      <c r="J74" s="7" t="s">
        <v>54</v>
      </c>
      <c r="L74" s="7" t="s">
        <v>54</v>
      </c>
    </row>
    <row r="75" spans="1:12" ht="12.75">
      <c r="A75" s="6" t="s">
        <v>14</v>
      </c>
      <c r="D75" s="6" t="s">
        <v>54</v>
      </c>
      <c r="E75" s="15">
        <f>States!C23</f>
        <v>1001467</v>
      </c>
      <c r="F75" s="33">
        <f>SUM(F76:F77)</f>
        <v>0.0164</v>
      </c>
      <c r="H75" s="15">
        <f>SUM(G76:G77)</f>
        <v>16424</v>
      </c>
      <c r="I75" s="15">
        <f>E75-H75</f>
        <v>985043</v>
      </c>
      <c r="J75" s="7" t="s">
        <v>54</v>
      </c>
      <c r="L75" s="7" t="s">
        <v>54</v>
      </c>
    </row>
    <row r="76" spans="1:12" ht="12.75">
      <c r="A76" s="6" t="s">
        <v>130</v>
      </c>
      <c r="B76" s="32">
        <v>84047</v>
      </c>
      <c r="C76" s="32">
        <v>593</v>
      </c>
      <c r="D76" s="14" t="s">
        <v>87</v>
      </c>
      <c r="E76" s="15"/>
      <c r="F76" s="37">
        <v>0.007</v>
      </c>
      <c r="G76" s="15">
        <f>ROUND(+$E$75*F76,0)</f>
        <v>7010</v>
      </c>
      <c r="I76" s="15"/>
      <c r="J76" s="7">
        <f>+G76*0.9</f>
        <v>6309</v>
      </c>
      <c r="K76" s="12">
        <v>60193</v>
      </c>
      <c r="L76" s="7">
        <f>+J76-K76</f>
        <v>-53884</v>
      </c>
    </row>
    <row r="77" spans="1:12" ht="12.75">
      <c r="A77" s="6" t="s">
        <v>131</v>
      </c>
      <c r="B77" s="32">
        <v>84047</v>
      </c>
      <c r="C77" s="32">
        <v>796</v>
      </c>
      <c r="D77" s="14" t="s">
        <v>87</v>
      </c>
      <c r="E77" s="15"/>
      <c r="F77" s="37">
        <v>0.0094</v>
      </c>
      <c r="G77" s="15">
        <f>ROUND(+$E$75*F77,0)</f>
        <v>9414</v>
      </c>
      <c r="I77" s="15"/>
      <c r="J77" s="7">
        <f>+G77*0.9</f>
        <v>8473</v>
      </c>
      <c r="K77" s="12">
        <v>80831</v>
      </c>
      <c r="L77" s="7">
        <f>+J77-K77</f>
        <v>-72358</v>
      </c>
    </row>
    <row r="78" spans="10:12" ht="12.75">
      <c r="J78" s="7" t="s">
        <v>54</v>
      </c>
      <c r="L78" s="7" t="s">
        <v>54</v>
      </c>
    </row>
    <row r="79" spans="1:12" ht="12.75">
      <c r="A79" s="6" t="s">
        <v>16</v>
      </c>
      <c r="E79" s="15">
        <f>States!C25</f>
        <v>3961449</v>
      </c>
      <c r="H79" s="15">
        <f>G80</f>
        <v>601</v>
      </c>
      <c r="I79" s="15">
        <f>E79-H79</f>
        <v>3960848</v>
      </c>
      <c r="J79" s="7" t="s">
        <v>54</v>
      </c>
      <c r="L79" s="7" t="s">
        <v>54</v>
      </c>
    </row>
    <row r="80" spans="1:12" ht="12.75">
      <c r="A80" s="6" t="s">
        <v>132</v>
      </c>
      <c r="B80" s="32">
        <v>434091</v>
      </c>
      <c r="C80" s="32">
        <v>0</v>
      </c>
      <c r="D80" s="14" t="s">
        <v>128</v>
      </c>
      <c r="F80" s="33">
        <f>6664/43919200</f>
        <v>0.00015173</v>
      </c>
      <c r="G80" s="15">
        <f>ROUND(+$E$79*F80,0)</f>
        <v>601</v>
      </c>
      <c r="I80" s="15"/>
      <c r="J80" s="7">
        <f>+G80*0.9</f>
        <v>541</v>
      </c>
      <c r="K80" s="12">
        <v>6664</v>
      </c>
      <c r="L80" s="7" t="s">
        <v>54</v>
      </c>
    </row>
    <row r="81" spans="10:12" ht="12.75">
      <c r="J81" s="7" t="s">
        <v>54</v>
      </c>
      <c r="L81" s="7" t="s">
        <v>54</v>
      </c>
    </row>
    <row r="82" spans="1:12" ht="12.75">
      <c r="A82" s="6" t="s">
        <v>18</v>
      </c>
      <c r="D82" s="6" t="s">
        <v>54</v>
      </c>
      <c r="E82" s="15">
        <f>States!C27</f>
        <v>1038859</v>
      </c>
      <c r="F82" s="37"/>
      <c r="H82" s="15">
        <f>G83</f>
        <v>861</v>
      </c>
      <c r="I82" s="15">
        <f>$E82-$H82</f>
        <v>1037998</v>
      </c>
      <c r="J82" s="7" t="s">
        <v>54</v>
      </c>
      <c r="L82" s="7" t="s">
        <v>54</v>
      </c>
    </row>
    <row r="83" spans="1:12" ht="12.75">
      <c r="A83" s="6" t="s">
        <v>133</v>
      </c>
      <c r="B83" s="32">
        <v>222152</v>
      </c>
      <c r="C83" s="32">
        <v>20</v>
      </c>
      <c r="D83" s="14" t="s">
        <v>128</v>
      </c>
      <c r="E83" s="15"/>
      <c r="F83" s="38">
        <f>11850/14294513</f>
        <v>0.00082899</v>
      </c>
      <c r="G83" s="15">
        <f>ROUND(+$E$82*F83,0)</f>
        <v>861</v>
      </c>
      <c r="I83" s="15"/>
      <c r="J83" s="7">
        <f>+G83*0.9</f>
        <v>775</v>
      </c>
      <c r="K83" s="12">
        <v>0</v>
      </c>
      <c r="L83" s="7" t="s">
        <v>54</v>
      </c>
    </row>
    <row r="84" spans="9:12" ht="12.75">
      <c r="I84" s="15"/>
      <c r="J84" s="7" t="s">
        <v>54</v>
      </c>
      <c r="L84" s="7" t="s">
        <v>54</v>
      </c>
    </row>
    <row r="85" spans="1:12" ht="12.75">
      <c r="A85" s="6" t="s">
        <v>21</v>
      </c>
      <c r="E85" s="15">
        <f>States!C30</f>
        <v>5778729</v>
      </c>
      <c r="H85" s="15">
        <f>SUM(G86:G90)</f>
        <v>211211</v>
      </c>
      <c r="I85" s="15">
        <f>SUM(E85-H85)</f>
        <v>5567518</v>
      </c>
      <c r="J85" s="7" t="s">
        <v>54</v>
      </c>
      <c r="L85" s="7" t="s">
        <v>54</v>
      </c>
    </row>
    <row r="86" spans="1:12" ht="12.75">
      <c r="A86" s="6" t="s">
        <v>134</v>
      </c>
      <c r="B86" s="32">
        <v>100697</v>
      </c>
      <c r="D86" s="14" t="s">
        <v>87</v>
      </c>
      <c r="F86" s="33">
        <v>0.00435</v>
      </c>
      <c r="G86" s="15">
        <f>ROUND(+$E$85*$F86,0)</f>
        <v>25137</v>
      </c>
      <c r="I86" s="15"/>
      <c r="J86" s="7">
        <f>+G86*0.9</f>
        <v>22623</v>
      </c>
      <c r="K86" s="12">
        <v>81044</v>
      </c>
      <c r="L86" s="7">
        <f>+J86-K86</f>
        <v>-58421</v>
      </c>
    </row>
    <row r="87" spans="1:12" ht="12.75">
      <c r="A87" s="6" t="s">
        <v>135</v>
      </c>
      <c r="B87" s="32">
        <v>100697</v>
      </c>
      <c r="D87" s="14" t="s">
        <v>87</v>
      </c>
      <c r="E87" s="15"/>
      <c r="F87" s="33">
        <v>0.00435</v>
      </c>
      <c r="G87" s="15">
        <f>ROUND(+$E$85*$F87,0)</f>
        <v>25137</v>
      </c>
      <c r="I87" s="15"/>
      <c r="J87" s="7">
        <f>+G87*0.9</f>
        <v>22623</v>
      </c>
      <c r="K87" s="12">
        <v>81044</v>
      </c>
      <c r="L87" s="7">
        <f>+J87-K87</f>
        <v>-58421</v>
      </c>
    </row>
    <row r="88" spans="1:12" ht="12.75">
      <c r="A88" s="6" t="s">
        <v>136</v>
      </c>
      <c r="B88" s="32">
        <v>100697</v>
      </c>
      <c r="C88" s="32">
        <v>83</v>
      </c>
      <c r="D88" s="14" t="s">
        <v>87</v>
      </c>
      <c r="E88" s="15"/>
      <c r="F88" s="33">
        <v>0.0083</v>
      </c>
      <c r="G88" s="15">
        <f>ROUND(+$E$85*$F88,0)</f>
        <v>47963</v>
      </c>
      <c r="I88" s="15"/>
      <c r="J88" s="7">
        <f>+G88*0.9</f>
        <v>43167</v>
      </c>
      <c r="K88" s="12">
        <v>154636</v>
      </c>
      <c r="L88" s="7">
        <f>+J88-K88</f>
        <v>-111469</v>
      </c>
    </row>
    <row r="89" spans="1:12" ht="12.75">
      <c r="A89" s="6" t="s">
        <v>137</v>
      </c>
      <c r="B89" s="32">
        <v>100697</v>
      </c>
      <c r="C89" s="32">
        <v>69</v>
      </c>
      <c r="D89" s="14" t="s">
        <v>87</v>
      </c>
      <c r="E89" s="15"/>
      <c r="F89" s="33">
        <v>0.01158</v>
      </c>
      <c r="G89" s="15">
        <f>ROUND(+$E$85*$F89,0)</f>
        <v>66918</v>
      </c>
      <c r="I89" s="15"/>
      <c r="J89" s="7">
        <f>+G89*0.9</f>
        <v>60226</v>
      </c>
      <c r="K89" s="12">
        <v>215746</v>
      </c>
      <c r="L89" s="7">
        <f>+J89-K89</f>
        <v>-155520</v>
      </c>
    </row>
    <row r="90" spans="1:12" ht="12.75">
      <c r="A90" s="6" t="s">
        <v>138</v>
      </c>
      <c r="B90" s="32">
        <v>100697</v>
      </c>
      <c r="C90" s="32">
        <v>95</v>
      </c>
      <c r="D90" s="14" t="s">
        <v>87</v>
      </c>
      <c r="E90" s="15"/>
      <c r="F90" s="33">
        <v>0.00797</v>
      </c>
      <c r="G90" s="15">
        <f>ROUND(+$E$85*$F90,0)</f>
        <v>46056</v>
      </c>
      <c r="I90" s="15"/>
      <c r="J90" s="7">
        <f>+G90*0.9</f>
        <v>41450</v>
      </c>
      <c r="K90" s="12">
        <v>148488</v>
      </c>
      <c r="L90" s="7">
        <f>+J90-K90</f>
        <v>-107038</v>
      </c>
    </row>
    <row r="91" spans="9:12" ht="12.75">
      <c r="I91" s="15"/>
      <c r="J91" s="7" t="s">
        <v>54</v>
      </c>
      <c r="L91" s="7" t="s">
        <v>54</v>
      </c>
    </row>
    <row r="92" spans="1:12" ht="12.75">
      <c r="A92" s="6" t="s">
        <v>23</v>
      </c>
      <c r="E92" s="15">
        <f>States!C32</f>
        <v>12277133</v>
      </c>
      <c r="H92" s="15">
        <f>G93</f>
        <v>4911</v>
      </c>
      <c r="I92" s="15">
        <f>SUM(E92-H92)</f>
        <v>12272222</v>
      </c>
      <c r="J92" s="7" t="s">
        <v>54</v>
      </c>
      <c r="L92" s="7" t="s">
        <v>54</v>
      </c>
    </row>
    <row r="93" spans="1:12" ht="12.75">
      <c r="A93" s="6" t="s">
        <v>139</v>
      </c>
      <c r="B93" s="32">
        <v>531692</v>
      </c>
      <c r="C93" s="32">
        <v>127</v>
      </c>
      <c r="D93" s="14" t="s">
        <v>87</v>
      </c>
      <c r="E93" s="15"/>
      <c r="F93" s="33">
        <v>0.0004</v>
      </c>
      <c r="G93" s="15">
        <f>ROUND(+$E$92*F93,0)</f>
        <v>4911</v>
      </c>
      <c r="I93" s="15"/>
      <c r="J93" s="7">
        <f>+G93*0.9</f>
        <v>4420</v>
      </c>
      <c r="K93" s="12">
        <v>23011</v>
      </c>
      <c r="L93" s="7">
        <f>+J93-K93</f>
        <v>-18591</v>
      </c>
    </row>
    <row r="94" spans="7:12" ht="12.75">
      <c r="G94" s="15"/>
      <c r="I94" s="15"/>
      <c r="J94" s="7" t="s">
        <v>54</v>
      </c>
      <c r="L94" s="7" t="s">
        <v>54</v>
      </c>
    </row>
    <row r="95" spans="1:12" ht="12.75">
      <c r="A95" s="6" t="s">
        <v>24</v>
      </c>
      <c r="E95" s="15">
        <f>States!C33</f>
        <v>8401042</v>
      </c>
      <c r="H95" s="15">
        <f>SUM(G96:G100)</f>
        <v>38698</v>
      </c>
      <c r="I95" s="15">
        <f>E95-H95</f>
        <v>8362344</v>
      </c>
      <c r="J95" s="7" t="s">
        <v>54</v>
      </c>
      <c r="L95" s="7" t="s">
        <v>54</v>
      </c>
    </row>
    <row r="96" spans="1:12" ht="12.75">
      <c r="A96" s="6" t="s">
        <v>140</v>
      </c>
      <c r="B96" s="32">
        <v>856399</v>
      </c>
      <c r="C96" s="32">
        <v>335</v>
      </c>
      <c r="D96" s="14" t="s">
        <v>89</v>
      </c>
      <c r="E96" s="15"/>
      <c r="F96" s="33">
        <f>$C96/$B96</f>
        <v>0.00039117</v>
      </c>
      <c r="G96" s="15">
        <f>ROUND(+$E$95*F96,0)</f>
        <v>3286</v>
      </c>
      <c r="I96" s="15"/>
      <c r="J96" s="7">
        <f>+G96*0.9</f>
        <v>2957</v>
      </c>
      <c r="K96" s="12">
        <v>29561</v>
      </c>
      <c r="L96" s="7">
        <f>+J96-K96</f>
        <v>-26604</v>
      </c>
    </row>
    <row r="97" spans="1:12" ht="12.75">
      <c r="A97" s="6" t="s">
        <v>141</v>
      </c>
      <c r="B97" s="32">
        <v>856399</v>
      </c>
      <c r="C97" s="32">
        <v>1149</v>
      </c>
      <c r="D97" s="14" t="s">
        <v>89</v>
      </c>
      <c r="E97" s="15"/>
      <c r="F97" s="33">
        <f>$C97/$B97</f>
        <v>0.00134166</v>
      </c>
      <c r="G97" s="15">
        <f>ROUND(+$E$95*F97,0)</f>
        <v>11271</v>
      </c>
      <c r="J97" s="7">
        <f>+G97*0.9</f>
        <v>10144</v>
      </c>
      <c r="K97" s="12">
        <v>101391</v>
      </c>
      <c r="L97" s="7">
        <f>+J97-K97</f>
        <v>-91247</v>
      </c>
    </row>
    <row r="98" spans="1:12" ht="12.75">
      <c r="A98" s="6" t="s">
        <v>223</v>
      </c>
      <c r="B98" s="32">
        <v>856399</v>
      </c>
      <c r="C98" s="32">
        <v>162</v>
      </c>
      <c r="D98" s="14" t="s">
        <v>89</v>
      </c>
      <c r="E98" s="15"/>
      <c r="F98" s="33">
        <f>$C98/$B98</f>
        <v>0.00018916</v>
      </c>
      <c r="G98" s="15">
        <f>ROUND(+$E$95*F98,0)</f>
        <v>1589</v>
      </c>
      <c r="J98" s="7">
        <f>+G98*0.9</f>
        <v>1430</v>
      </c>
      <c r="K98" s="12">
        <v>14295</v>
      </c>
      <c r="L98" s="7">
        <f>+J98-K98</f>
        <v>-12865</v>
      </c>
    </row>
    <row r="99" spans="1:12" ht="12.75">
      <c r="A99" s="6" t="s">
        <v>142</v>
      </c>
      <c r="B99" s="32">
        <v>856399</v>
      </c>
      <c r="C99" s="32">
        <v>555</v>
      </c>
      <c r="D99" s="14" t="s">
        <v>89</v>
      </c>
      <c r="E99" s="15"/>
      <c r="F99" s="33">
        <f>$C99/$B99</f>
        <v>0.00064806</v>
      </c>
      <c r="G99" s="15">
        <f>ROUND(+$E$95*F99,0)</f>
        <v>5444</v>
      </c>
      <c r="J99" s="7">
        <f>+G99*0.9</f>
        <v>4900</v>
      </c>
      <c r="K99" s="12">
        <v>48975</v>
      </c>
      <c r="L99" s="7">
        <f>+J99-K99</f>
        <v>-44075</v>
      </c>
    </row>
    <row r="100" spans="1:12" ht="12.75">
      <c r="A100" s="6" t="s">
        <v>143</v>
      </c>
      <c r="B100" s="32">
        <v>856399</v>
      </c>
      <c r="C100" s="32">
        <v>1744</v>
      </c>
      <c r="D100" s="14" t="s">
        <v>89</v>
      </c>
      <c r="E100" s="15"/>
      <c r="F100" s="33">
        <f>$C100/$B100</f>
        <v>0.00203643</v>
      </c>
      <c r="G100" s="15">
        <f>ROUND(+$E$95*F100,0)</f>
        <v>17108</v>
      </c>
      <c r="I100" s="15"/>
      <c r="J100" s="7">
        <f>+G100*0.9</f>
        <v>15397</v>
      </c>
      <c r="K100" s="12">
        <v>153896</v>
      </c>
      <c r="L100" s="7">
        <f>+J100-K100</f>
        <v>-138499</v>
      </c>
    </row>
    <row r="101" spans="5:12" ht="12.75">
      <c r="E101" s="15"/>
      <c r="G101" s="15"/>
      <c r="I101" s="15"/>
      <c r="J101" s="7" t="s">
        <v>54</v>
      </c>
      <c r="L101" s="7" t="s">
        <v>54</v>
      </c>
    </row>
    <row r="102" spans="1:12" ht="12.75">
      <c r="A102" s="6" t="s">
        <v>26</v>
      </c>
      <c r="E102" s="15">
        <f>States!C35</f>
        <v>902716</v>
      </c>
      <c r="H102" s="15">
        <f>$G103</f>
        <v>1508</v>
      </c>
      <c r="I102" s="15">
        <f>$E102-$H102</f>
        <v>901208</v>
      </c>
      <c r="J102" s="7" t="s">
        <v>54</v>
      </c>
      <c r="L102" s="7" t="s">
        <v>54</v>
      </c>
    </row>
    <row r="103" spans="1:12" ht="12.75">
      <c r="A103" s="6" t="s">
        <v>144</v>
      </c>
      <c r="B103" s="32">
        <v>334555</v>
      </c>
      <c r="C103" s="32">
        <v>559</v>
      </c>
      <c r="D103" s="14" t="s">
        <v>85</v>
      </c>
      <c r="E103" s="15"/>
      <c r="F103" s="33">
        <f>$C103/$B103</f>
        <v>0.00167088</v>
      </c>
      <c r="G103" s="15">
        <f>ROUND(+$E$102*F103,0)</f>
        <v>1508</v>
      </c>
      <c r="I103" s="15"/>
      <c r="J103" s="7">
        <f>+G103*0.9</f>
        <v>1357</v>
      </c>
      <c r="K103" s="12">
        <v>16883</v>
      </c>
      <c r="L103" s="7">
        <f>+J103-K103</f>
        <v>-15526</v>
      </c>
    </row>
    <row r="104" spans="5:12" ht="12.75">
      <c r="E104" s="15"/>
      <c r="G104" s="15"/>
      <c r="I104" s="15"/>
      <c r="J104" s="7" t="s">
        <v>54</v>
      </c>
      <c r="L104" s="7" t="s">
        <v>54</v>
      </c>
    </row>
    <row r="105" spans="1:12" ht="12.75">
      <c r="A105" s="6" t="s">
        <v>28</v>
      </c>
      <c r="E105" s="15">
        <f>States!C37</f>
        <v>1025622</v>
      </c>
      <c r="F105" s="37">
        <f>SUM(F106:F111)</f>
        <v>0.151407</v>
      </c>
      <c r="H105" s="15">
        <f>SUM($G106:$G111)</f>
        <v>155287</v>
      </c>
      <c r="I105" s="15">
        <f>$E105-$H105</f>
        <v>870335</v>
      </c>
      <c r="J105" s="7" t="s">
        <v>54</v>
      </c>
      <c r="L105" s="7" t="s">
        <v>54</v>
      </c>
    </row>
    <row r="106" spans="1:12" ht="12.75">
      <c r="A106" s="6" t="s">
        <v>145</v>
      </c>
      <c r="C106" s="7">
        <v>928</v>
      </c>
      <c r="D106" s="14" t="s">
        <v>87</v>
      </c>
      <c r="E106" s="15"/>
      <c r="F106" s="37">
        <v>0.029637</v>
      </c>
      <c r="G106" s="15">
        <f aca="true" t="shared" si="9" ref="G106:G111">ROUND(+$E$105*F106,0)</f>
        <v>30396</v>
      </c>
      <c r="I106" s="37"/>
      <c r="J106" s="7">
        <f aca="true" t="shared" si="10" ref="J106:J111">+G106*0.9</f>
        <v>27356</v>
      </c>
      <c r="K106" s="12">
        <v>298921</v>
      </c>
      <c r="L106" s="7">
        <f aca="true" t="shared" si="11" ref="L106:L111">+J106-K106</f>
        <v>-271565</v>
      </c>
    </row>
    <row r="107" spans="1:12" ht="12.75">
      <c r="A107" s="6" t="s">
        <v>146</v>
      </c>
      <c r="C107" s="7">
        <v>1135</v>
      </c>
      <c r="D107" s="14" t="s">
        <v>87</v>
      </c>
      <c r="E107" s="15"/>
      <c r="F107" s="37">
        <v>0.047916</v>
      </c>
      <c r="G107" s="15">
        <f t="shared" si="9"/>
        <v>49144</v>
      </c>
      <c r="J107" s="7">
        <f t="shared" si="10"/>
        <v>44230</v>
      </c>
      <c r="K107" s="12">
        <v>483285</v>
      </c>
      <c r="L107" s="7">
        <f t="shared" si="11"/>
        <v>-439055</v>
      </c>
    </row>
    <row r="108" spans="1:12" ht="12.75">
      <c r="A108" s="6" t="s">
        <v>147</v>
      </c>
      <c r="C108" s="7">
        <v>246</v>
      </c>
      <c r="D108" s="14" t="s">
        <v>87</v>
      </c>
      <c r="E108" s="15"/>
      <c r="F108" s="37">
        <v>0.013682</v>
      </c>
      <c r="G108" s="15">
        <f t="shared" si="9"/>
        <v>14033</v>
      </c>
      <c r="J108" s="7">
        <f t="shared" si="10"/>
        <v>12630</v>
      </c>
      <c r="K108" s="12">
        <v>137998</v>
      </c>
      <c r="L108" s="7">
        <f t="shared" si="11"/>
        <v>-125368</v>
      </c>
    </row>
    <row r="109" spans="1:12" ht="12.75">
      <c r="A109" s="6" t="s">
        <v>148</v>
      </c>
      <c r="C109" s="7">
        <v>871</v>
      </c>
      <c r="D109" s="14" t="s">
        <v>87</v>
      </c>
      <c r="E109" s="15"/>
      <c r="F109" s="37">
        <v>0.027471</v>
      </c>
      <c r="G109" s="15">
        <f t="shared" si="9"/>
        <v>28175</v>
      </c>
      <c r="J109" s="7">
        <f t="shared" si="10"/>
        <v>25358</v>
      </c>
      <c r="K109" s="12">
        <v>277075</v>
      </c>
      <c r="L109" s="7">
        <f t="shared" si="11"/>
        <v>-251717</v>
      </c>
    </row>
    <row r="110" spans="1:12" ht="12.75">
      <c r="A110" s="6" t="s">
        <v>149</v>
      </c>
      <c r="C110" s="7">
        <v>381</v>
      </c>
      <c r="D110" s="14" t="s">
        <v>87</v>
      </c>
      <c r="E110" s="15"/>
      <c r="F110" s="37">
        <v>0.014598</v>
      </c>
      <c r="G110" s="15">
        <f t="shared" si="9"/>
        <v>14972</v>
      </c>
      <c r="J110" s="7">
        <f t="shared" si="10"/>
        <v>13475</v>
      </c>
      <c r="K110" s="12">
        <v>147237</v>
      </c>
      <c r="L110" s="7">
        <f t="shared" si="11"/>
        <v>-133762</v>
      </c>
    </row>
    <row r="111" spans="1:12" ht="12.75">
      <c r="A111" s="6" t="s">
        <v>150</v>
      </c>
      <c r="C111" s="7">
        <v>536</v>
      </c>
      <c r="D111" s="14" t="s">
        <v>87</v>
      </c>
      <c r="E111" s="15"/>
      <c r="F111" s="37">
        <v>0.018103</v>
      </c>
      <c r="G111" s="15">
        <f t="shared" si="9"/>
        <v>18567</v>
      </c>
      <c r="J111" s="7">
        <f t="shared" si="10"/>
        <v>16710</v>
      </c>
      <c r="K111" s="12">
        <v>182588</v>
      </c>
      <c r="L111" s="7">
        <f t="shared" si="11"/>
        <v>-165878</v>
      </c>
    </row>
    <row r="112" spans="1:12" ht="12.75">
      <c r="A112" s="6"/>
      <c r="D112" s="14"/>
      <c r="E112" s="15"/>
      <c r="F112" s="37"/>
      <c r="G112" s="15"/>
      <c r="J112" s="7" t="s">
        <v>54</v>
      </c>
      <c r="L112" s="7" t="s">
        <v>54</v>
      </c>
    </row>
    <row r="113" spans="1:12" ht="12.75">
      <c r="A113" s="6" t="s">
        <v>29</v>
      </c>
      <c r="D113" s="14"/>
      <c r="E113" s="15">
        <f>States!C38</f>
        <v>1231193</v>
      </c>
      <c r="F113" s="37"/>
      <c r="G113" s="15"/>
      <c r="H113" s="17">
        <f>G114</f>
        <v>288</v>
      </c>
      <c r="I113" s="15">
        <f>$E113-$H113</f>
        <v>1230905</v>
      </c>
      <c r="J113" s="7" t="s">
        <v>54</v>
      </c>
      <c r="L113" s="7" t="s">
        <v>54</v>
      </c>
    </row>
    <row r="114" spans="1:12" ht="12.75">
      <c r="A114" s="6" t="s">
        <v>151</v>
      </c>
      <c r="B114" s="7">
        <v>136572</v>
      </c>
      <c r="D114" s="14" t="s">
        <v>128</v>
      </c>
      <c r="E114" s="15"/>
      <c r="F114" s="38">
        <f>3600/15393063</f>
        <v>0.00023387</v>
      </c>
      <c r="G114" s="15">
        <f>ROUND(+$E$113*F114,0)</f>
        <v>288</v>
      </c>
      <c r="J114" s="7">
        <f>+G114*0.9</f>
        <v>259</v>
      </c>
      <c r="K114" s="12">
        <v>0</v>
      </c>
      <c r="L114" s="7" t="s">
        <v>54</v>
      </c>
    </row>
    <row r="115" spans="5:12" ht="12.75">
      <c r="E115" s="15"/>
      <c r="F115" s="37"/>
      <c r="G115" s="15"/>
      <c r="I115" s="15"/>
      <c r="J115" s="7" t="s">
        <v>54</v>
      </c>
      <c r="L115" s="7" t="s">
        <v>54</v>
      </c>
    </row>
    <row r="116" spans="1:12" ht="12.75">
      <c r="A116" s="6" t="s">
        <v>32</v>
      </c>
      <c r="E116" s="15">
        <f>States!C41</f>
        <v>10356084</v>
      </c>
      <c r="H116" s="15">
        <f>SUM($G117:G117)</f>
        <v>25892</v>
      </c>
      <c r="I116" s="15">
        <f>$E116-$H116</f>
        <v>10330192</v>
      </c>
      <c r="J116" s="7" t="s">
        <v>54</v>
      </c>
      <c r="L116" s="7" t="s">
        <v>54</v>
      </c>
    </row>
    <row r="117" spans="1:12" ht="12.75">
      <c r="A117" s="6" t="s">
        <v>152</v>
      </c>
      <c r="B117" s="32">
        <v>602367</v>
      </c>
      <c r="C117" s="32">
        <v>1506</v>
      </c>
      <c r="D117" s="14" t="s">
        <v>85</v>
      </c>
      <c r="E117" s="15"/>
      <c r="F117" s="33">
        <f>$C117/$B117</f>
        <v>0.00250014</v>
      </c>
      <c r="G117" s="15">
        <f>ROUND(+$E$116*F117,0)</f>
        <v>25892</v>
      </c>
      <c r="I117" s="15"/>
      <c r="J117" s="7">
        <f>+G117*0.9</f>
        <v>23303</v>
      </c>
      <c r="K117" s="12">
        <v>133518</v>
      </c>
      <c r="L117" s="7">
        <f>+J117-K117</f>
        <v>-110215</v>
      </c>
    </row>
    <row r="118" spans="5:12" ht="12.75">
      <c r="E118" s="15"/>
      <c r="G118" s="15"/>
      <c r="I118" s="15"/>
      <c r="J118" s="7" t="s">
        <v>54</v>
      </c>
      <c r="L118" s="7" t="s">
        <v>54</v>
      </c>
    </row>
    <row r="119" spans="1:12" ht="12.75">
      <c r="A119" s="6" t="s">
        <v>153</v>
      </c>
      <c r="E119" s="15">
        <f>States!C42</f>
        <v>630990</v>
      </c>
      <c r="F119" s="37"/>
      <c r="H119" s="15">
        <f>SUM($G120:$G123)</f>
        <v>47283</v>
      </c>
      <c r="I119" s="15">
        <f>E119-H119</f>
        <v>583707</v>
      </c>
      <c r="J119" s="7" t="s">
        <v>54</v>
      </c>
      <c r="L119" s="7" t="s">
        <v>54</v>
      </c>
    </row>
    <row r="120" spans="1:12" ht="12.75">
      <c r="A120" s="6" t="s">
        <v>154</v>
      </c>
      <c r="B120" s="32">
        <v>154990</v>
      </c>
      <c r="C120" s="32">
        <v>462</v>
      </c>
      <c r="D120" s="14" t="s">
        <v>85</v>
      </c>
      <c r="E120" s="15"/>
      <c r="F120" s="33">
        <f>$C120/$B120</f>
        <v>0.00298084</v>
      </c>
      <c r="G120" s="15">
        <f>ROUND(+$E$119*F120,0)</f>
        <v>1881</v>
      </c>
      <c r="I120" s="15"/>
      <c r="J120" s="7">
        <f>+G120*0.9</f>
        <v>1693</v>
      </c>
      <c r="K120" s="12">
        <v>21270</v>
      </c>
      <c r="L120" s="7">
        <f>+J120-K120</f>
        <v>-19577</v>
      </c>
    </row>
    <row r="121" spans="1:12" ht="12.75">
      <c r="A121" s="6" t="s">
        <v>155</v>
      </c>
      <c r="B121" s="32">
        <v>154990</v>
      </c>
      <c r="C121" s="32">
        <v>261</v>
      </c>
      <c r="D121" s="14" t="s">
        <v>85</v>
      </c>
      <c r="E121" s="15"/>
      <c r="F121" s="33">
        <f>$C121/$B121</f>
        <v>0.00168398</v>
      </c>
      <c r="G121" s="15">
        <f>ROUND(+$E$119*F121,0)</f>
        <v>1063</v>
      </c>
      <c r="I121" s="15"/>
      <c r="J121" s="7">
        <f>+G121*0.9</f>
        <v>957</v>
      </c>
      <c r="K121" s="12">
        <v>12016</v>
      </c>
      <c r="L121" s="7">
        <f>+J121-K121</f>
        <v>-11059</v>
      </c>
    </row>
    <row r="122" spans="1:12" ht="12.75">
      <c r="A122" s="6" t="s">
        <v>156</v>
      </c>
      <c r="B122" s="32">
        <v>154990</v>
      </c>
      <c r="C122" s="32">
        <v>9939</v>
      </c>
      <c r="D122" s="14" t="s">
        <v>85</v>
      </c>
      <c r="E122" s="15"/>
      <c r="F122" s="33">
        <f>$C122/$B122</f>
        <v>0.06412672</v>
      </c>
      <c r="G122" s="15">
        <f>ROUND(+$E$119*F122,0)</f>
        <v>40463</v>
      </c>
      <c r="I122" s="15"/>
      <c r="J122" s="7">
        <f>+G122*0.9</f>
        <v>36417</v>
      </c>
      <c r="K122" s="12">
        <v>0</v>
      </c>
      <c r="L122" s="7" t="s">
        <v>54</v>
      </c>
    </row>
    <row r="123" spans="1:12" ht="12.75">
      <c r="A123" s="6" t="s">
        <v>157</v>
      </c>
      <c r="B123" s="32">
        <v>154990</v>
      </c>
      <c r="C123" s="32">
        <v>952</v>
      </c>
      <c r="D123" s="14" t="s">
        <v>85</v>
      </c>
      <c r="E123" s="15"/>
      <c r="F123" s="33">
        <f>$C123/$B123</f>
        <v>0.00614233</v>
      </c>
      <c r="G123" s="15">
        <f>ROUND(+$E$119*F123,0)</f>
        <v>3876</v>
      </c>
      <c r="I123" s="15"/>
      <c r="J123" s="7">
        <f>+G123*0.9</f>
        <v>3488</v>
      </c>
      <c r="K123" s="12">
        <v>43829</v>
      </c>
      <c r="L123" s="7">
        <f>+J123-K123</f>
        <v>-40341</v>
      </c>
    </row>
    <row r="124" spans="1:9" ht="12.75">
      <c r="A124" s="6"/>
      <c r="B124" s="32"/>
      <c r="C124" s="32"/>
      <c r="D124" s="14"/>
      <c r="E124" s="15"/>
      <c r="F124" s="33"/>
      <c r="G124" s="15"/>
      <c r="I124" s="15"/>
    </row>
    <row r="125" spans="1:12" ht="12.75">
      <c r="A125" s="6" t="s">
        <v>34</v>
      </c>
      <c r="E125" s="15">
        <f>States!C43</f>
        <v>36767194</v>
      </c>
      <c r="H125" s="15">
        <f>SUM($G126:$G127)</f>
        <v>55981</v>
      </c>
      <c r="I125" s="15">
        <f>$E125-$H125</f>
        <v>36711213</v>
      </c>
      <c r="J125" s="7" t="s">
        <v>54</v>
      </c>
      <c r="L125" s="7" t="s">
        <v>54</v>
      </c>
    </row>
    <row r="126" spans="1:12" ht="12.75">
      <c r="A126" s="6" t="s">
        <v>158</v>
      </c>
      <c r="B126" s="32">
        <v>1622237</v>
      </c>
      <c r="C126" s="32">
        <v>547</v>
      </c>
      <c r="D126" s="14" t="s">
        <v>89</v>
      </c>
      <c r="E126" s="15"/>
      <c r="F126" s="33">
        <f>162779/212495786</f>
        <v>0.00076603</v>
      </c>
      <c r="G126" s="15">
        <f>ROUND(+$E$125*$F126,0)</f>
        <v>28165</v>
      </c>
      <c r="I126" s="15"/>
      <c r="J126" s="7">
        <f>+G126*0.9</f>
        <v>25349</v>
      </c>
      <c r="K126" s="12">
        <v>149925</v>
      </c>
      <c r="L126" s="7" t="s">
        <v>54</v>
      </c>
    </row>
    <row r="127" spans="1:12" ht="12.75">
      <c r="A127" s="6" t="s">
        <v>159</v>
      </c>
      <c r="B127" s="32">
        <v>1622237</v>
      </c>
      <c r="C127" s="32">
        <v>317</v>
      </c>
      <c r="D127" s="14" t="s">
        <v>89</v>
      </c>
      <c r="E127" s="15"/>
      <c r="F127" s="33">
        <f>160762/212495786</f>
        <v>0.00075654</v>
      </c>
      <c r="G127" s="15">
        <f>ROUND(+$E$125*$F127,0)</f>
        <v>27816</v>
      </c>
      <c r="I127" s="15"/>
      <c r="J127" s="7">
        <f aca="true" t="shared" si="12" ref="J127:J184">+G127*0.9</f>
        <v>25034</v>
      </c>
      <c r="K127" s="12">
        <v>153312</v>
      </c>
      <c r="L127" s="7" t="s">
        <v>54</v>
      </c>
    </row>
    <row r="128" spans="5:12" ht="12.75">
      <c r="E128" s="15"/>
      <c r="F128" s="37"/>
      <c r="G128" s="15"/>
      <c r="I128" s="15"/>
      <c r="J128" s="7" t="s">
        <v>54</v>
      </c>
      <c r="L128" s="7" t="s">
        <v>54</v>
      </c>
    </row>
    <row r="129" spans="1:12" ht="12.75">
      <c r="A129" s="6" t="s">
        <v>35</v>
      </c>
      <c r="E129" s="15">
        <f>States!C44</f>
        <v>4727244</v>
      </c>
      <c r="H129" s="15">
        <f>$G130</f>
        <v>75980</v>
      </c>
      <c r="I129" s="15">
        <f>E129-H129</f>
        <v>4651264</v>
      </c>
      <c r="J129" s="7" t="s">
        <v>54</v>
      </c>
      <c r="L129" s="7" t="s">
        <v>54</v>
      </c>
    </row>
    <row r="130" spans="1:12" ht="12.75">
      <c r="A130" s="6" t="s">
        <v>160</v>
      </c>
      <c r="B130" s="32">
        <v>618221</v>
      </c>
      <c r="C130" s="32">
        <v>6441</v>
      </c>
      <c r="D130" s="14" t="s">
        <v>87</v>
      </c>
      <c r="E130" s="15"/>
      <c r="F130" s="33">
        <v>0.01607278</v>
      </c>
      <c r="G130" s="15">
        <f>ROUND(+$E$129*$F130,0)</f>
        <v>75980</v>
      </c>
      <c r="I130" s="15"/>
      <c r="J130" s="7">
        <f t="shared" si="12"/>
        <v>68382</v>
      </c>
      <c r="K130" s="12">
        <v>417681</v>
      </c>
      <c r="L130" s="7">
        <f aca="true" t="shared" si="13" ref="L130:L184">+J130-K130</f>
        <v>-349299</v>
      </c>
    </row>
    <row r="131" spans="10:12" ht="12.75">
      <c r="J131" s="7" t="s">
        <v>54</v>
      </c>
      <c r="L131" s="7" t="s">
        <v>54</v>
      </c>
    </row>
    <row r="132" spans="1:12" ht="12.75">
      <c r="A132" s="6" t="s">
        <v>36</v>
      </c>
      <c r="D132" s="6" t="s">
        <v>54</v>
      </c>
      <c r="E132" s="15">
        <f>States!C45</f>
        <v>1574315</v>
      </c>
      <c r="F132" s="37">
        <f>SUM(F133:F136)</f>
        <v>0.1933</v>
      </c>
      <c r="H132" s="15">
        <f>SUM(G133:G136)</f>
        <v>304315</v>
      </c>
      <c r="I132" s="15">
        <f>E132-H132</f>
        <v>1270000</v>
      </c>
      <c r="J132" s="7" t="s">
        <v>54</v>
      </c>
      <c r="L132" s="7" t="s">
        <v>54</v>
      </c>
    </row>
    <row r="133" spans="1:12" ht="12.75">
      <c r="A133" s="6" t="s">
        <v>161</v>
      </c>
      <c r="D133" s="14" t="s">
        <v>87</v>
      </c>
      <c r="E133" s="15"/>
      <c r="F133" s="39">
        <v>0.0389</v>
      </c>
      <c r="G133" s="15">
        <f>ROUND(+$E$132*F133,0)</f>
        <v>61241</v>
      </c>
      <c r="I133" s="15"/>
      <c r="J133" s="7">
        <f t="shared" si="12"/>
        <v>55117</v>
      </c>
      <c r="K133" s="12">
        <v>426209</v>
      </c>
      <c r="L133" s="7">
        <f t="shared" si="13"/>
        <v>-371092</v>
      </c>
    </row>
    <row r="134" spans="1:12" ht="12.75">
      <c r="A134" s="6" t="s">
        <v>162</v>
      </c>
      <c r="D134" s="14" t="s">
        <v>87</v>
      </c>
      <c r="E134" s="15"/>
      <c r="F134" s="39">
        <v>0.0292</v>
      </c>
      <c r="G134" s="15">
        <f>ROUND(+$E$132*F134,0)</f>
        <v>45970</v>
      </c>
      <c r="I134" s="15"/>
      <c r="J134" s="7">
        <f t="shared" si="12"/>
        <v>41373</v>
      </c>
      <c r="K134" s="12">
        <v>375809</v>
      </c>
      <c r="L134" s="7" t="s">
        <v>54</v>
      </c>
    </row>
    <row r="135" spans="1:12" ht="12.75">
      <c r="A135" s="6" t="s">
        <v>163</v>
      </c>
      <c r="D135" s="14" t="s">
        <v>87</v>
      </c>
      <c r="E135" s="15"/>
      <c r="F135" s="39">
        <v>0.0362</v>
      </c>
      <c r="G135" s="15">
        <f>ROUND(+$E$132*F135,0)</f>
        <v>56990</v>
      </c>
      <c r="I135" s="15"/>
      <c r="J135" s="7">
        <f t="shared" si="12"/>
        <v>51291</v>
      </c>
      <c r="K135" s="12">
        <v>396627</v>
      </c>
      <c r="L135" s="7">
        <f t="shared" si="13"/>
        <v>-345336</v>
      </c>
    </row>
    <row r="136" spans="1:12" ht="12.75">
      <c r="A136" s="6" t="s">
        <v>164</v>
      </c>
      <c r="D136" s="14" t="s">
        <v>87</v>
      </c>
      <c r="E136" s="15"/>
      <c r="F136" s="39">
        <v>0.089</v>
      </c>
      <c r="G136" s="15">
        <f>ROUND(+$E$132*F136,0)</f>
        <v>140114</v>
      </c>
      <c r="I136" s="15"/>
      <c r="J136" s="7">
        <f t="shared" si="12"/>
        <v>126103</v>
      </c>
      <c r="K136" s="12">
        <v>975132</v>
      </c>
      <c r="L136" s="7">
        <f t="shared" si="13"/>
        <v>-849029</v>
      </c>
    </row>
    <row r="137" spans="5:12" ht="12.75">
      <c r="E137" s="15"/>
      <c r="F137" s="37"/>
      <c r="G137" s="15"/>
      <c r="I137" s="15"/>
      <c r="J137" s="7" t="s">
        <v>54</v>
      </c>
      <c r="L137" s="7" t="s">
        <v>54</v>
      </c>
    </row>
    <row r="138" spans="1:12" ht="12.75">
      <c r="A138" s="6" t="s">
        <v>38</v>
      </c>
      <c r="E138" s="15">
        <f>States!C47</f>
        <v>951772</v>
      </c>
      <c r="F138" s="54"/>
      <c r="H138" s="15">
        <f>SUM(G139:G168)</f>
        <v>80254</v>
      </c>
      <c r="I138" s="15">
        <f>E138-H138</f>
        <v>871518</v>
      </c>
      <c r="J138" s="7" t="s">
        <v>54</v>
      </c>
      <c r="L138" s="7" t="s">
        <v>54</v>
      </c>
    </row>
    <row r="139" spans="1:12" ht="12.75">
      <c r="A139" s="6" t="s">
        <v>165</v>
      </c>
      <c r="B139" s="32">
        <v>334782</v>
      </c>
      <c r="C139" s="32">
        <v>195</v>
      </c>
      <c r="D139" s="14" t="s">
        <v>89</v>
      </c>
      <c r="E139" s="15"/>
      <c r="F139" s="33">
        <f aca="true" t="shared" si="14" ref="F139:F168">$C139/$B139</f>
        <v>0.00058247</v>
      </c>
      <c r="G139" s="15">
        <f>ROUND(+$E$138*$F139,0)</f>
        <v>554</v>
      </c>
      <c r="I139" s="15"/>
      <c r="J139" s="7">
        <f t="shared" si="12"/>
        <v>499</v>
      </c>
      <c r="K139" s="12">
        <v>6310</v>
      </c>
      <c r="L139" s="7">
        <f t="shared" si="13"/>
        <v>-5811</v>
      </c>
    </row>
    <row r="140" spans="1:12" ht="12.75">
      <c r="A140" s="6" t="s">
        <v>233</v>
      </c>
      <c r="B140" s="32">
        <v>334782</v>
      </c>
      <c r="C140" s="32">
        <v>125</v>
      </c>
      <c r="D140" s="14" t="s">
        <v>89</v>
      </c>
      <c r="E140" s="15"/>
      <c r="F140" s="33">
        <f>$C140/$B140</f>
        <v>0.00037338</v>
      </c>
      <c r="G140" s="15">
        <f aca="true" t="shared" si="15" ref="G140:G150">ROUND(+$E$138*$F140,0)</f>
        <v>355</v>
      </c>
      <c r="I140" s="15"/>
      <c r="J140" s="7">
        <f t="shared" si="12"/>
        <v>320</v>
      </c>
      <c r="K140" s="12">
        <v>4045</v>
      </c>
      <c r="L140" s="7">
        <f t="shared" si="13"/>
        <v>-3725</v>
      </c>
    </row>
    <row r="141" spans="1:12" ht="12.75">
      <c r="A141" s="6" t="s">
        <v>229</v>
      </c>
      <c r="B141" s="32">
        <v>334782</v>
      </c>
      <c r="C141" s="32">
        <v>168</v>
      </c>
      <c r="D141" s="14" t="s">
        <v>89</v>
      </c>
      <c r="E141" s="15"/>
      <c r="F141" s="33">
        <f t="shared" si="14"/>
        <v>0.00050182</v>
      </c>
      <c r="G141" s="15">
        <f t="shared" si="15"/>
        <v>478</v>
      </c>
      <c r="I141" s="15"/>
      <c r="J141" s="7">
        <f t="shared" si="12"/>
        <v>430</v>
      </c>
      <c r="K141" s="12">
        <v>5436</v>
      </c>
      <c r="L141" s="7">
        <f t="shared" si="13"/>
        <v>-5006</v>
      </c>
    </row>
    <row r="142" spans="1:12" ht="12.75">
      <c r="A142" s="6" t="s">
        <v>166</v>
      </c>
      <c r="B142" s="32">
        <v>334782</v>
      </c>
      <c r="C142" s="32">
        <v>196</v>
      </c>
      <c r="D142" s="14" t="s">
        <v>89</v>
      </c>
      <c r="E142" s="15"/>
      <c r="F142" s="33">
        <f t="shared" si="14"/>
        <v>0.00058546</v>
      </c>
      <c r="G142" s="15">
        <f t="shared" si="15"/>
        <v>557</v>
      </c>
      <c r="I142" s="15"/>
      <c r="J142" s="7">
        <f t="shared" si="12"/>
        <v>501</v>
      </c>
      <c r="K142" s="12">
        <v>6342</v>
      </c>
      <c r="L142" s="7">
        <f t="shared" si="13"/>
        <v>-5841</v>
      </c>
    </row>
    <row r="143" spans="1:12" ht="12.75">
      <c r="A143" s="6" t="s">
        <v>167</v>
      </c>
      <c r="B143" s="32">
        <v>334782</v>
      </c>
      <c r="C143" s="32">
        <v>12117</v>
      </c>
      <c r="D143" s="14" t="s">
        <v>89</v>
      </c>
      <c r="E143" s="15"/>
      <c r="F143" s="33">
        <f t="shared" si="14"/>
        <v>0.0361937</v>
      </c>
      <c r="G143" s="15">
        <f t="shared" si="15"/>
        <v>34448</v>
      </c>
      <c r="I143" s="40" t="s">
        <v>54</v>
      </c>
      <c r="J143" s="7">
        <f t="shared" si="12"/>
        <v>31003</v>
      </c>
      <c r="K143" s="12">
        <v>392099</v>
      </c>
      <c r="L143" s="7">
        <f t="shared" si="13"/>
        <v>-361096</v>
      </c>
    </row>
    <row r="144" spans="1:12" ht="12.75">
      <c r="A144" s="6" t="s">
        <v>168</v>
      </c>
      <c r="B144" s="32">
        <v>334782</v>
      </c>
      <c r="C144" s="32">
        <v>635</v>
      </c>
      <c r="D144" s="14" t="s">
        <v>89</v>
      </c>
      <c r="E144" s="15"/>
      <c r="F144" s="33">
        <f t="shared" si="14"/>
        <v>0.00189676</v>
      </c>
      <c r="G144" s="15">
        <f t="shared" si="15"/>
        <v>1805</v>
      </c>
      <c r="I144" s="15"/>
      <c r="J144" s="7">
        <f t="shared" si="12"/>
        <v>1625</v>
      </c>
      <c r="K144" s="12">
        <v>20548</v>
      </c>
      <c r="L144" s="7">
        <f t="shared" si="13"/>
        <v>-18923</v>
      </c>
    </row>
    <row r="145" spans="1:12" ht="12.75">
      <c r="A145" s="6" t="s">
        <v>169</v>
      </c>
      <c r="B145" s="32">
        <v>334782</v>
      </c>
      <c r="C145" s="32">
        <v>1377</v>
      </c>
      <c r="D145" s="14" t="s">
        <v>89</v>
      </c>
      <c r="E145" s="15"/>
      <c r="F145" s="33">
        <f t="shared" si="14"/>
        <v>0.00411312</v>
      </c>
      <c r="G145" s="15">
        <f t="shared" si="15"/>
        <v>3915</v>
      </c>
      <c r="I145" s="15"/>
      <c r="J145" s="7">
        <f t="shared" si="12"/>
        <v>3524</v>
      </c>
      <c r="K145" s="12">
        <v>44559</v>
      </c>
      <c r="L145" s="7">
        <f t="shared" si="13"/>
        <v>-41035</v>
      </c>
    </row>
    <row r="146" spans="1:12" ht="12.75">
      <c r="A146" s="6" t="s">
        <v>170</v>
      </c>
      <c r="B146" s="32">
        <v>334782</v>
      </c>
      <c r="C146" s="32">
        <v>4412</v>
      </c>
      <c r="D146" s="14" t="s">
        <v>89</v>
      </c>
      <c r="E146" s="15"/>
      <c r="F146" s="33">
        <f t="shared" si="14"/>
        <v>0.01317873</v>
      </c>
      <c r="G146" s="15">
        <f t="shared" si="15"/>
        <v>12543</v>
      </c>
      <c r="I146" s="40" t="s">
        <v>54</v>
      </c>
      <c r="J146" s="7">
        <f t="shared" si="12"/>
        <v>11289</v>
      </c>
      <c r="K146" s="12">
        <v>142770</v>
      </c>
      <c r="L146" s="7">
        <f t="shared" si="13"/>
        <v>-131481</v>
      </c>
    </row>
    <row r="147" spans="1:12" ht="12.75">
      <c r="A147" s="6" t="s">
        <v>171</v>
      </c>
      <c r="B147" s="32">
        <v>334782</v>
      </c>
      <c r="C147" s="32">
        <v>256</v>
      </c>
      <c r="D147" s="14" t="s">
        <v>89</v>
      </c>
      <c r="E147" s="15"/>
      <c r="F147" s="33">
        <f t="shared" si="14"/>
        <v>0.00076468</v>
      </c>
      <c r="G147" s="15">
        <f t="shared" si="15"/>
        <v>728</v>
      </c>
      <c r="I147" s="15"/>
      <c r="J147" s="7">
        <f t="shared" si="12"/>
        <v>655</v>
      </c>
      <c r="K147" s="12">
        <v>8284</v>
      </c>
      <c r="L147" s="7">
        <f t="shared" si="13"/>
        <v>-7629</v>
      </c>
    </row>
    <row r="148" spans="1:12" ht="12.75">
      <c r="A148" s="6" t="s">
        <v>172</v>
      </c>
      <c r="B148" s="32">
        <v>334782</v>
      </c>
      <c r="C148" s="32">
        <v>696</v>
      </c>
      <c r="D148" s="14" t="s">
        <v>89</v>
      </c>
      <c r="E148" s="15"/>
      <c r="F148" s="33">
        <f t="shared" si="14"/>
        <v>0.00207896</v>
      </c>
      <c r="G148" s="15">
        <f t="shared" si="15"/>
        <v>1979</v>
      </c>
      <c r="I148" s="15"/>
      <c r="J148" s="7">
        <f t="shared" si="12"/>
        <v>1781</v>
      </c>
      <c r="K148" s="12">
        <v>22522</v>
      </c>
      <c r="L148" s="7">
        <f t="shared" si="13"/>
        <v>-20741</v>
      </c>
    </row>
    <row r="149" spans="1:12" ht="12.75">
      <c r="A149" s="6" t="s">
        <v>173</v>
      </c>
      <c r="B149" s="32">
        <v>334782</v>
      </c>
      <c r="C149" s="32">
        <v>326</v>
      </c>
      <c r="D149" s="14" t="s">
        <v>89</v>
      </c>
      <c r="E149" s="15"/>
      <c r="F149" s="33">
        <f t="shared" si="14"/>
        <v>0.00097377</v>
      </c>
      <c r="G149" s="15">
        <f aca="true" t="shared" si="16" ref="G149:G154">ROUND(+$E$138*$F149,0)</f>
        <v>927</v>
      </c>
      <c r="I149" s="15"/>
      <c r="J149" s="7">
        <f t="shared" si="12"/>
        <v>834</v>
      </c>
      <c r="K149" s="12">
        <v>10549</v>
      </c>
      <c r="L149" s="7">
        <f t="shared" si="13"/>
        <v>-9715</v>
      </c>
    </row>
    <row r="150" spans="1:12" ht="12.75">
      <c r="A150" s="6" t="s">
        <v>227</v>
      </c>
      <c r="B150" s="32">
        <v>334782</v>
      </c>
      <c r="C150" s="32">
        <v>8</v>
      </c>
      <c r="D150" s="14" t="s">
        <v>128</v>
      </c>
      <c r="E150" s="15"/>
      <c r="F150" s="33">
        <f>3000/13201808</f>
        <v>0.00022724</v>
      </c>
      <c r="G150" s="15">
        <f t="shared" si="15"/>
        <v>216</v>
      </c>
      <c r="I150" s="15"/>
      <c r="J150" s="7">
        <f t="shared" si="12"/>
        <v>194</v>
      </c>
      <c r="K150" s="12">
        <v>3000</v>
      </c>
      <c r="L150" s="7" t="s">
        <v>54</v>
      </c>
    </row>
    <row r="151" spans="1:12" ht="12.75">
      <c r="A151" s="6" t="s">
        <v>174</v>
      </c>
      <c r="B151" s="32">
        <v>334782</v>
      </c>
      <c r="C151" s="32">
        <v>170</v>
      </c>
      <c r="D151" s="14" t="s">
        <v>89</v>
      </c>
      <c r="F151" s="33">
        <f t="shared" si="14"/>
        <v>0.00050779</v>
      </c>
      <c r="G151" s="15">
        <f t="shared" si="16"/>
        <v>483</v>
      </c>
      <c r="J151" s="7">
        <f t="shared" si="12"/>
        <v>435</v>
      </c>
      <c r="K151" s="12">
        <v>5501</v>
      </c>
      <c r="L151" s="7">
        <f t="shared" si="13"/>
        <v>-5066</v>
      </c>
    </row>
    <row r="152" spans="1:12" ht="12.75">
      <c r="A152" s="6" t="s">
        <v>175</v>
      </c>
      <c r="B152" s="32">
        <v>334782</v>
      </c>
      <c r="C152" s="32">
        <v>612</v>
      </c>
      <c r="D152" s="14" t="s">
        <v>89</v>
      </c>
      <c r="E152" s="15"/>
      <c r="F152" s="33">
        <f t="shared" si="14"/>
        <v>0.00182806</v>
      </c>
      <c r="G152" s="15">
        <f t="shared" si="16"/>
        <v>1740</v>
      </c>
      <c r="I152" s="15"/>
      <c r="J152" s="7">
        <f t="shared" si="12"/>
        <v>1566</v>
      </c>
      <c r="K152" s="12">
        <v>0</v>
      </c>
      <c r="L152" s="7" t="s">
        <v>54</v>
      </c>
    </row>
    <row r="153" spans="1:12" ht="12.75">
      <c r="A153" s="6" t="s">
        <v>176</v>
      </c>
      <c r="B153" s="32">
        <v>334782</v>
      </c>
      <c r="C153" s="32">
        <v>100</v>
      </c>
      <c r="D153" s="14" t="s">
        <v>128</v>
      </c>
      <c r="E153" s="15"/>
      <c r="F153" s="33">
        <f t="shared" si="14"/>
        <v>0.0002987</v>
      </c>
      <c r="G153" s="15">
        <f t="shared" si="16"/>
        <v>284</v>
      </c>
      <c r="I153" s="15"/>
      <c r="J153" s="7">
        <f t="shared" si="12"/>
        <v>256</v>
      </c>
      <c r="K153" s="12">
        <v>3236</v>
      </c>
      <c r="L153" s="7">
        <f t="shared" si="13"/>
        <v>-2980</v>
      </c>
    </row>
    <row r="154" spans="1:12" ht="12.75">
      <c r="A154" s="6" t="s">
        <v>177</v>
      </c>
      <c r="B154" s="32">
        <v>334782</v>
      </c>
      <c r="C154" s="6" t="s">
        <v>54</v>
      </c>
      <c r="D154" s="14" t="s">
        <v>128</v>
      </c>
      <c r="F154" s="33">
        <f>3000/13201808</f>
        <v>0.00022724</v>
      </c>
      <c r="G154" s="15">
        <f t="shared" si="16"/>
        <v>216</v>
      </c>
      <c r="J154" s="7">
        <f t="shared" si="12"/>
        <v>194</v>
      </c>
      <c r="K154" s="12">
        <v>3000</v>
      </c>
      <c r="L154" s="7" t="s">
        <v>54</v>
      </c>
    </row>
    <row r="155" spans="1:12" ht="12.75">
      <c r="A155" s="6" t="s">
        <v>178</v>
      </c>
      <c r="B155" s="32">
        <v>334782</v>
      </c>
      <c r="C155" s="32">
        <v>3057</v>
      </c>
      <c r="D155" s="14" t="s">
        <v>89</v>
      </c>
      <c r="E155" s="15"/>
      <c r="F155" s="33">
        <f t="shared" si="14"/>
        <v>0.00913132</v>
      </c>
      <c r="G155" s="15">
        <f aca="true" t="shared" si="17" ref="G155:G163">ROUND(+$E$138*$F155,0)</f>
        <v>8691</v>
      </c>
      <c r="I155" s="15"/>
      <c r="J155" s="7">
        <f t="shared" si="12"/>
        <v>7822</v>
      </c>
      <c r="K155" s="12">
        <v>98923</v>
      </c>
      <c r="L155" s="7">
        <f t="shared" si="13"/>
        <v>-91101</v>
      </c>
    </row>
    <row r="156" spans="1:12" ht="12.75">
      <c r="A156" s="6" t="s">
        <v>179</v>
      </c>
      <c r="B156" s="32">
        <v>334782</v>
      </c>
      <c r="C156" s="32">
        <v>678</v>
      </c>
      <c r="D156" s="14" t="s">
        <v>89</v>
      </c>
      <c r="E156" s="15"/>
      <c r="F156" s="33">
        <f t="shared" si="14"/>
        <v>0.0020252</v>
      </c>
      <c r="G156" s="15">
        <f t="shared" si="17"/>
        <v>1928</v>
      </c>
      <c r="I156" s="15"/>
      <c r="J156" s="7">
        <f t="shared" si="12"/>
        <v>1735</v>
      </c>
      <c r="K156" s="12">
        <v>21940</v>
      </c>
      <c r="L156" s="7">
        <f t="shared" si="13"/>
        <v>-20205</v>
      </c>
    </row>
    <row r="157" spans="1:12" ht="12.75">
      <c r="A157" s="6" t="s">
        <v>180</v>
      </c>
      <c r="B157" s="32">
        <v>334782</v>
      </c>
      <c r="C157" s="32">
        <v>92</v>
      </c>
      <c r="D157" s="14" t="s">
        <v>128</v>
      </c>
      <c r="E157" s="15"/>
      <c r="F157" s="33">
        <f t="shared" si="14"/>
        <v>0.00027481</v>
      </c>
      <c r="G157" s="15">
        <f t="shared" si="17"/>
        <v>262</v>
      </c>
      <c r="I157" s="15"/>
      <c r="J157" s="7">
        <f t="shared" si="12"/>
        <v>236</v>
      </c>
      <c r="K157" s="12">
        <v>3000</v>
      </c>
      <c r="L157" s="7">
        <f t="shared" si="13"/>
        <v>-2764</v>
      </c>
    </row>
    <row r="158" spans="1:12" ht="12.75">
      <c r="A158" s="6" t="s">
        <v>228</v>
      </c>
      <c r="B158" s="32">
        <v>334782</v>
      </c>
      <c r="C158" s="32">
        <v>23</v>
      </c>
      <c r="D158" s="14" t="s">
        <v>128</v>
      </c>
      <c r="E158" s="15"/>
      <c r="F158" s="33">
        <f>3000/13201808</f>
        <v>0.00022724</v>
      </c>
      <c r="G158" s="15">
        <f t="shared" si="17"/>
        <v>216</v>
      </c>
      <c r="I158" s="15"/>
      <c r="J158" s="7">
        <f t="shared" si="12"/>
        <v>194</v>
      </c>
      <c r="K158" s="12">
        <v>3000</v>
      </c>
      <c r="L158" s="7" t="s">
        <v>54</v>
      </c>
    </row>
    <row r="159" spans="1:12" ht="12.75">
      <c r="A159" s="6" t="s">
        <v>181</v>
      </c>
      <c r="B159" s="32">
        <v>334782</v>
      </c>
      <c r="C159" s="32">
        <v>104</v>
      </c>
      <c r="D159" s="14" t="s">
        <v>128</v>
      </c>
      <c r="E159" s="15"/>
      <c r="F159" s="33">
        <f t="shared" si="14"/>
        <v>0.00031065</v>
      </c>
      <c r="G159" s="15">
        <f t="shared" si="17"/>
        <v>296</v>
      </c>
      <c r="I159" s="15"/>
      <c r="J159" s="7">
        <f t="shared" si="12"/>
        <v>266</v>
      </c>
      <c r="K159" s="12">
        <v>3365</v>
      </c>
      <c r="L159" s="7">
        <f t="shared" si="13"/>
        <v>-3099</v>
      </c>
    </row>
    <row r="160" spans="1:12" ht="12.75">
      <c r="A160" s="6" t="s">
        <v>182</v>
      </c>
      <c r="B160" s="32">
        <v>334782</v>
      </c>
      <c r="C160" s="32">
        <v>225</v>
      </c>
      <c r="D160" s="14" t="s">
        <v>89</v>
      </c>
      <c r="F160" s="33">
        <f t="shared" si="14"/>
        <v>0.00067208</v>
      </c>
      <c r="G160" s="15">
        <f t="shared" si="17"/>
        <v>640</v>
      </c>
      <c r="J160" s="7">
        <f t="shared" si="12"/>
        <v>576</v>
      </c>
      <c r="K160" s="12">
        <v>7281</v>
      </c>
      <c r="L160" s="7">
        <f t="shared" si="13"/>
        <v>-6705</v>
      </c>
    </row>
    <row r="161" spans="1:12" ht="12.75">
      <c r="A161" s="6" t="s">
        <v>231</v>
      </c>
      <c r="B161" s="32">
        <v>334782</v>
      </c>
      <c r="C161" s="32">
        <v>246</v>
      </c>
      <c r="D161" s="14" t="s">
        <v>89</v>
      </c>
      <c r="F161" s="33">
        <f t="shared" si="14"/>
        <v>0.00073481</v>
      </c>
      <c r="G161" s="15">
        <f t="shared" si="17"/>
        <v>699</v>
      </c>
      <c r="J161" s="7">
        <f t="shared" si="12"/>
        <v>629</v>
      </c>
      <c r="K161" s="12">
        <v>7960</v>
      </c>
      <c r="L161" s="7">
        <f t="shared" si="13"/>
        <v>-7331</v>
      </c>
    </row>
    <row r="162" spans="1:12" ht="12.75">
      <c r="A162" s="6" t="s">
        <v>183</v>
      </c>
      <c r="B162" s="32">
        <v>334782</v>
      </c>
      <c r="C162" s="32">
        <v>194</v>
      </c>
      <c r="D162" s="14" t="s">
        <v>89</v>
      </c>
      <c r="E162" s="15"/>
      <c r="F162" s="33">
        <f t="shared" si="14"/>
        <v>0.00057948</v>
      </c>
      <c r="G162" s="15">
        <f t="shared" si="17"/>
        <v>552</v>
      </c>
      <c r="I162" s="15"/>
      <c r="J162" s="7">
        <f t="shared" si="12"/>
        <v>497</v>
      </c>
      <c r="K162" s="12">
        <v>6278</v>
      </c>
      <c r="L162" s="7">
        <f t="shared" si="13"/>
        <v>-5781</v>
      </c>
    </row>
    <row r="163" spans="1:12" ht="12.75">
      <c r="A163" s="6" t="s">
        <v>245</v>
      </c>
      <c r="B163" s="32"/>
      <c r="C163" s="32"/>
      <c r="D163" s="14"/>
      <c r="E163" s="15"/>
      <c r="F163" s="33">
        <f>3000/13201808</f>
        <v>0.00022724</v>
      </c>
      <c r="G163" s="15">
        <f t="shared" si="17"/>
        <v>216</v>
      </c>
      <c r="I163" s="15"/>
      <c r="J163" s="7">
        <f t="shared" si="12"/>
        <v>194</v>
      </c>
      <c r="K163" s="12">
        <v>3000</v>
      </c>
      <c r="L163" s="7" t="s">
        <v>54</v>
      </c>
    </row>
    <row r="164" spans="1:12" ht="12.75">
      <c r="A164" s="6" t="s">
        <v>184</v>
      </c>
      <c r="B164" s="32">
        <v>334782</v>
      </c>
      <c r="C164" s="32">
        <v>606</v>
      </c>
      <c r="D164" s="14" t="s">
        <v>89</v>
      </c>
      <c r="E164" s="15"/>
      <c r="F164" s="33">
        <f t="shared" si="14"/>
        <v>0.00181013</v>
      </c>
      <c r="G164" s="15">
        <f>ROUND(+$E$138*$F164,0)</f>
        <v>1723</v>
      </c>
      <c r="I164" s="15"/>
      <c r="J164" s="7">
        <f t="shared" si="12"/>
        <v>1551</v>
      </c>
      <c r="K164" s="12">
        <v>19610</v>
      </c>
      <c r="L164" s="7">
        <f t="shared" si="13"/>
        <v>-18059</v>
      </c>
    </row>
    <row r="165" spans="1:12" ht="12.75">
      <c r="A165" s="6" t="s">
        <v>185</v>
      </c>
      <c r="B165" s="32">
        <v>334782</v>
      </c>
      <c r="C165" s="32">
        <v>119</v>
      </c>
      <c r="D165" s="14" t="s">
        <v>128</v>
      </c>
      <c r="E165" s="15"/>
      <c r="F165" s="33">
        <f t="shared" si="14"/>
        <v>0.00035546</v>
      </c>
      <c r="G165" s="15">
        <f>ROUND(+$E$138*$F165,0)</f>
        <v>338</v>
      </c>
      <c r="I165" s="15"/>
      <c r="J165" s="7">
        <f t="shared" si="12"/>
        <v>304</v>
      </c>
      <c r="K165" s="12">
        <v>3851</v>
      </c>
      <c r="L165" s="7">
        <f t="shared" si="13"/>
        <v>-3547</v>
      </c>
    </row>
    <row r="166" spans="1:12" ht="12.75">
      <c r="A166" s="6" t="s">
        <v>186</v>
      </c>
      <c r="B166" s="32">
        <v>334782</v>
      </c>
      <c r="C166" s="32">
        <v>34</v>
      </c>
      <c r="D166" s="14" t="s">
        <v>128</v>
      </c>
      <c r="E166" s="15"/>
      <c r="F166" s="33">
        <f>3000/13201808</f>
        <v>0.00022724</v>
      </c>
      <c r="G166" s="15">
        <f>ROUND(+$E$138*$F166,0)</f>
        <v>216</v>
      </c>
      <c r="I166" s="15"/>
      <c r="J166" s="7">
        <f t="shared" si="12"/>
        <v>194</v>
      </c>
      <c r="K166" s="12">
        <v>3000</v>
      </c>
      <c r="L166" s="7" t="s">
        <v>54</v>
      </c>
    </row>
    <row r="167" spans="1:12" ht="12.75">
      <c r="A167" s="6" t="s">
        <v>234</v>
      </c>
      <c r="B167" s="32">
        <v>334782</v>
      </c>
      <c r="C167" s="32">
        <v>1054</v>
      </c>
      <c r="D167" s="14" t="s">
        <v>89</v>
      </c>
      <c r="E167" s="15"/>
      <c r="F167" s="33">
        <f t="shared" si="14"/>
        <v>0.00314832</v>
      </c>
      <c r="G167" s="15">
        <f>ROUND(+$E$138*$F167,0)</f>
        <v>2996</v>
      </c>
      <c r="I167" s="15"/>
      <c r="J167" s="7">
        <f t="shared" si="12"/>
        <v>2696</v>
      </c>
      <c r="K167" s="12">
        <v>34107</v>
      </c>
      <c r="L167" s="7">
        <f t="shared" si="13"/>
        <v>-31411</v>
      </c>
    </row>
    <row r="168" spans="1:12" ht="12.75">
      <c r="A168" s="6" t="s">
        <v>187</v>
      </c>
      <c r="B168" s="32">
        <v>334782</v>
      </c>
      <c r="C168" s="32">
        <v>89</v>
      </c>
      <c r="D168" s="14" t="s">
        <v>128</v>
      </c>
      <c r="E168" s="15"/>
      <c r="F168" s="33">
        <f t="shared" si="14"/>
        <v>0.00026584</v>
      </c>
      <c r="G168" s="15">
        <f>ROUND(+$E$138*$F168,0)</f>
        <v>253</v>
      </c>
      <c r="I168" s="15"/>
      <c r="J168" s="7">
        <f t="shared" si="12"/>
        <v>228</v>
      </c>
      <c r="K168" s="12">
        <v>3000</v>
      </c>
      <c r="L168" s="7">
        <f t="shared" si="13"/>
        <v>-2772</v>
      </c>
    </row>
    <row r="169" spans="1:12" ht="12.75">
      <c r="A169" s="6" t="s">
        <v>188</v>
      </c>
      <c r="E169" s="15"/>
      <c r="G169" s="15"/>
      <c r="I169" s="15"/>
      <c r="J169" s="7" t="s">
        <v>54</v>
      </c>
      <c r="L169" s="7" t="s">
        <v>54</v>
      </c>
    </row>
    <row r="170" spans="1:12" ht="12.75">
      <c r="A170" s="6" t="s">
        <v>39</v>
      </c>
      <c r="D170" s="6" t="s">
        <v>54</v>
      </c>
      <c r="E170" s="15">
        <f>States!C48</f>
        <v>2037124</v>
      </c>
      <c r="F170" s="33" t="s">
        <v>54</v>
      </c>
      <c r="H170" s="15">
        <f>SUM(G171:G172)</f>
        <v>15434</v>
      </c>
      <c r="I170" s="15">
        <f>E170-H170</f>
        <v>2021690</v>
      </c>
      <c r="J170" s="7" t="s">
        <v>54</v>
      </c>
      <c r="L170" s="7" t="s">
        <v>54</v>
      </c>
    </row>
    <row r="171" spans="1:12" ht="12.75">
      <c r="A171" s="6" t="s">
        <v>189</v>
      </c>
      <c r="B171" s="32">
        <v>239405</v>
      </c>
      <c r="D171" s="14" t="s">
        <v>128</v>
      </c>
      <c r="E171" s="15"/>
      <c r="F171" s="38">
        <f>12000/20821188</f>
        <v>0.00057634</v>
      </c>
      <c r="G171" s="15">
        <f>ROUND(+$E$170*F171,0)</f>
        <v>1174</v>
      </c>
      <c r="H171" s="15"/>
      <c r="I171" s="15"/>
      <c r="J171" s="7">
        <f t="shared" si="12"/>
        <v>1057</v>
      </c>
      <c r="K171" s="12">
        <v>12000</v>
      </c>
      <c r="L171" s="7" t="s">
        <v>54</v>
      </c>
    </row>
    <row r="172" spans="1:12" ht="12.75">
      <c r="A172" s="6" t="s">
        <v>190</v>
      </c>
      <c r="B172" s="32">
        <v>239405</v>
      </c>
      <c r="D172" s="14" t="s">
        <v>87</v>
      </c>
      <c r="E172" s="15"/>
      <c r="F172" s="38">
        <v>0.007</v>
      </c>
      <c r="G172" s="15">
        <f>ROUND(+$E$170*F172,0)</f>
        <v>14260</v>
      </c>
      <c r="H172" s="15"/>
      <c r="I172" s="15"/>
      <c r="J172" s="7">
        <f t="shared" si="12"/>
        <v>12834</v>
      </c>
      <c r="K172" s="12">
        <v>119600</v>
      </c>
      <c r="L172" s="7">
        <f t="shared" si="13"/>
        <v>-106766</v>
      </c>
    </row>
    <row r="173" spans="1:9" ht="12.75">
      <c r="A173" s="6"/>
      <c r="B173" s="32"/>
      <c r="D173" s="14"/>
      <c r="E173" s="15"/>
      <c r="F173" s="38"/>
      <c r="G173" s="15"/>
      <c r="H173" s="15"/>
      <c r="I173" s="15"/>
    </row>
    <row r="174" spans="1:12" ht="12.75">
      <c r="A174" s="6" t="s">
        <v>41</v>
      </c>
      <c r="E174" s="15">
        <f>States!C50</f>
        <v>2052509</v>
      </c>
      <c r="H174" s="15">
        <f>$G175</f>
        <v>5816</v>
      </c>
      <c r="I174" s="15">
        <f>SUM($E174-$H174)</f>
        <v>2046693</v>
      </c>
      <c r="J174" s="7" t="s">
        <v>54</v>
      </c>
      <c r="L174" s="7" t="s">
        <v>54</v>
      </c>
    </row>
    <row r="175" spans="1:12" ht="12.75">
      <c r="A175" s="6" t="s">
        <v>191</v>
      </c>
      <c r="B175" s="32">
        <v>84702</v>
      </c>
      <c r="C175" s="35">
        <v>240</v>
      </c>
      <c r="D175" s="14" t="s">
        <v>89</v>
      </c>
      <c r="E175" s="15"/>
      <c r="F175" s="33">
        <f>$C175/$B175</f>
        <v>0.00283346</v>
      </c>
      <c r="G175" s="15">
        <f>ROUND(+$E$174*F175,0)</f>
        <v>5816</v>
      </c>
      <c r="J175" s="7">
        <f t="shared" si="12"/>
        <v>5234</v>
      </c>
      <c r="K175" s="12">
        <v>26831</v>
      </c>
      <c r="L175" s="7">
        <f t="shared" si="13"/>
        <v>-21597</v>
      </c>
    </row>
    <row r="176" spans="1:12" ht="12.75">
      <c r="A176" s="14"/>
      <c r="B176" s="14"/>
      <c r="C176" s="14"/>
      <c r="D176" s="14"/>
      <c r="E176" s="14"/>
      <c r="F176" s="14"/>
      <c r="G176" s="14"/>
      <c r="H176" s="14"/>
      <c r="I176" s="14"/>
      <c r="J176" s="7" t="s">
        <v>54</v>
      </c>
      <c r="L176" s="7" t="s">
        <v>54</v>
      </c>
    </row>
    <row r="177" spans="1:12" ht="12.75">
      <c r="A177" s="6" t="s">
        <v>43</v>
      </c>
      <c r="D177" s="6" t="s">
        <v>54</v>
      </c>
      <c r="E177" s="15">
        <f>States!C52</f>
        <v>1203869</v>
      </c>
      <c r="F177" s="37">
        <f>SUM(F178:F184)</f>
        <v>0.1778</v>
      </c>
      <c r="H177" s="15">
        <f>SUM(G178:G184)</f>
        <v>214048</v>
      </c>
      <c r="I177" s="15">
        <f>E177-H177</f>
        <v>989821</v>
      </c>
      <c r="J177" s="7" t="s">
        <v>54</v>
      </c>
      <c r="L177" s="7" t="s">
        <v>54</v>
      </c>
    </row>
    <row r="178" spans="1:12" ht="12.75">
      <c r="A178" s="6" t="s">
        <v>192</v>
      </c>
      <c r="D178" s="14" t="s">
        <v>87</v>
      </c>
      <c r="E178" s="15"/>
      <c r="F178" s="37">
        <v>0.0282</v>
      </c>
      <c r="G178" s="15">
        <f aca="true" t="shared" si="18" ref="G178:G184">ROUND(+$E$177*F178,0)</f>
        <v>33949</v>
      </c>
      <c r="I178" s="15"/>
      <c r="J178" s="7">
        <f t="shared" si="12"/>
        <v>30554</v>
      </c>
      <c r="K178" s="12">
        <v>250941</v>
      </c>
      <c r="L178" s="7">
        <f t="shared" si="13"/>
        <v>-220387</v>
      </c>
    </row>
    <row r="179" spans="1:12" ht="12.75">
      <c r="A179" s="6" t="s">
        <v>193</v>
      </c>
      <c r="D179" s="14" t="s">
        <v>87</v>
      </c>
      <c r="E179" s="15"/>
      <c r="F179" s="37">
        <v>0.0038</v>
      </c>
      <c r="G179" s="15">
        <f t="shared" si="18"/>
        <v>4575</v>
      </c>
      <c r="I179" s="15"/>
      <c r="J179" s="7">
        <f t="shared" si="12"/>
        <v>4118</v>
      </c>
      <c r="K179" s="12">
        <v>33815</v>
      </c>
      <c r="L179" s="7">
        <f t="shared" si="13"/>
        <v>-29697</v>
      </c>
    </row>
    <row r="180" spans="1:12" ht="12.75">
      <c r="A180" s="6" t="s">
        <v>194</v>
      </c>
      <c r="D180" s="14" t="s">
        <v>87</v>
      </c>
      <c r="E180" s="15"/>
      <c r="F180" s="37">
        <v>0.0584</v>
      </c>
      <c r="G180" s="15">
        <f t="shared" si="18"/>
        <v>70306</v>
      </c>
      <c r="I180" s="15"/>
      <c r="J180" s="7">
        <f t="shared" si="12"/>
        <v>63275</v>
      </c>
      <c r="K180" s="12">
        <v>519680</v>
      </c>
      <c r="L180" s="7">
        <f t="shared" si="13"/>
        <v>-456405</v>
      </c>
    </row>
    <row r="181" spans="1:12" ht="12.75">
      <c r="A181" s="6" t="s">
        <v>195</v>
      </c>
      <c r="D181" s="14" t="s">
        <v>87</v>
      </c>
      <c r="E181" s="15"/>
      <c r="F181" s="37">
        <v>0.046</v>
      </c>
      <c r="G181" s="15">
        <f t="shared" si="18"/>
        <v>55378</v>
      </c>
      <c r="I181" s="15"/>
      <c r="J181" s="7">
        <f t="shared" si="12"/>
        <v>49840</v>
      </c>
      <c r="K181" s="12">
        <v>409337</v>
      </c>
      <c r="L181" s="7">
        <f t="shared" si="13"/>
        <v>-359497</v>
      </c>
    </row>
    <row r="182" spans="1:12" ht="12.75">
      <c r="A182" s="6" t="s">
        <v>196</v>
      </c>
      <c r="D182" s="14" t="s">
        <v>87</v>
      </c>
      <c r="E182" s="15"/>
      <c r="F182" s="37">
        <v>0.0186</v>
      </c>
      <c r="G182" s="15">
        <f t="shared" si="18"/>
        <v>22392</v>
      </c>
      <c r="I182" s="15"/>
      <c r="J182" s="7">
        <f t="shared" si="12"/>
        <v>20153</v>
      </c>
      <c r="K182" s="12">
        <v>165514</v>
      </c>
      <c r="L182" s="7">
        <f t="shared" si="13"/>
        <v>-145361</v>
      </c>
    </row>
    <row r="183" spans="1:12" ht="12.75">
      <c r="A183" s="6" t="s">
        <v>197</v>
      </c>
      <c r="D183" s="14" t="s">
        <v>87</v>
      </c>
      <c r="E183" s="15"/>
      <c r="F183" s="37">
        <v>0.0116</v>
      </c>
      <c r="G183" s="15">
        <f t="shared" si="18"/>
        <v>13965</v>
      </c>
      <c r="I183" s="15"/>
      <c r="J183" s="7">
        <f t="shared" si="12"/>
        <v>12569</v>
      </c>
      <c r="K183" s="12">
        <v>103224</v>
      </c>
      <c r="L183" s="7" t="s">
        <v>54</v>
      </c>
    </row>
    <row r="184" spans="1:12" ht="12.75">
      <c r="A184" s="6" t="s">
        <v>198</v>
      </c>
      <c r="D184" s="14" t="s">
        <v>87</v>
      </c>
      <c r="E184" s="15"/>
      <c r="F184" s="37">
        <v>0.0112</v>
      </c>
      <c r="G184" s="15">
        <f t="shared" si="18"/>
        <v>13483</v>
      </c>
      <c r="I184" s="15"/>
      <c r="J184" s="7">
        <f t="shared" si="12"/>
        <v>12135</v>
      </c>
      <c r="K184" s="12">
        <v>99665</v>
      </c>
      <c r="L184" s="7">
        <f t="shared" si="13"/>
        <v>-87530</v>
      </c>
    </row>
    <row r="185" spans="1:12" ht="12.75">
      <c r="A185" s="6"/>
      <c r="D185" s="14"/>
      <c r="E185" s="15"/>
      <c r="F185" s="37"/>
      <c r="G185" s="15"/>
      <c r="I185" s="15"/>
      <c r="J185" s="7" t="s">
        <v>54</v>
      </c>
      <c r="L185" s="7" t="s">
        <v>54</v>
      </c>
    </row>
    <row r="186" spans="1:12" ht="12.75">
      <c r="A186" s="6" t="s">
        <v>46</v>
      </c>
      <c r="D186" s="6" t="s">
        <v>54</v>
      </c>
      <c r="E186" s="15">
        <f>States!C55</f>
        <v>960157</v>
      </c>
      <c r="F186" s="33"/>
      <c r="H186" s="15">
        <f>SUM(G187:G189)</f>
        <v>17863</v>
      </c>
      <c r="I186" s="15">
        <f>E186-H186</f>
        <v>942294</v>
      </c>
      <c r="J186" s="7" t="s">
        <v>54</v>
      </c>
      <c r="L186" s="7" t="s">
        <v>54</v>
      </c>
    </row>
    <row r="187" spans="1:12" ht="12.75">
      <c r="A187" s="6" t="s">
        <v>156</v>
      </c>
      <c r="B187" s="32">
        <v>110884</v>
      </c>
      <c r="C187" s="32">
        <v>997</v>
      </c>
      <c r="D187" s="14" t="s">
        <v>85</v>
      </c>
      <c r="E187" s="15"/>
      <c r="F187" s="33">
        <f>C187/B187</f>
        <v>0.00899138</v>
      </c>
      <c r="G187" s="15">
        <f>ROUND(+$E$186*F187,0)</f>
        <v>8633</v>
      </c>
      <c r="I187" s="15"/>
      <c r="J187" s="7">
        <f aca="true" t="shared" si="19" ref="J187:J214">+G187*0.9</f>
        <v>7770</v>
      </c>
      <c r="K187" s="12">
        <v>0</v>
      </c>
      <c r="L187" s="7" t="s">
        <v>54</v>
      </c>
    </row>
    <row r="188" spans="1:12" ht="12.75">
      <c r="A188" s="6" t="s">
        <v>199</v>
      </c>
      <c r="B188" s="32">
        <v>110884</v>
      </c>
      <c r="D188" s="14" t="s">
        <v>128</v>
      </c>
      <c r="E188" s="15"/>
      <c r="F188" s="38">
        <f>50000/12484036</f>
        <v>0.00400512</v>
      </c>
      <c r="G188" s="15">
        <f>ROUND(+$E$186*F188,0)</f>
        <v>3846</v>
      </c>
      <c r="J188" s="7">
        <f t="shared" si="19"/>
        <v>3461</v>
      </c>
      <c r="K188" s="12">
        <v>50000</v>
      </c>
      <c r="L188" s="7" t="s">
        <v>54</v>
      </c>
    </row>
    <row r="189" spans="1:12" ht="12.75">
      <c r="A189" s="6" t="s">
        <v>200</v>
      </c>
      <c r="B189" s="32">
        <v>110884</v>
      </c>
      <c r="D189" s="14" t="s">
        <v>128</v>
      </c>
      <c r="E189" s="15"/>
      <c r="F189" s="38">
        <f>70000/12484036</f>
        <v>0.00560716</v>
      </c>
      <c r="G189" s="15">
        <f>ROUND(+$E$186*F189,0)</f>
        <v>5384</v>
      </c>
      <c r="I189" s="15"/>
      <c r="J189" s="7">
        <f t="shared" si="19"/>
        <v>4846</v>
      </c>
      <c r="K189" s="12">
        <v>70000</v>
      </c>
      <c r="L189" s="7" t="s">
        <v>54</v>
      </c>
    </row>
    <row r="190" spans="5:12" ht="12.75">
      <c r="E190" s="15"/>
      <c r="G190" s="15"/>
      <c r="I190" s="15"/>
      <c r="J190" s="7" t="s">
        <v>54</v>
      </c>
      <c r="L190" s="7" t="s">
        <v>54</v>
      </c>
    </row>
    <row r="191" spans="1:12" ht="12.75">
      <c r="A191" s="6" t="s">
        <v>49</v>
      </c>
      <c r="E191" s="15">
        <f>States!C58</f>
        <v>3189613</v>
      </c>
      <c r="H191" s="15">
        <f>SUM(G192:G211)</f>
        <v>129413</v>
      </c>
      <c r="I191" s="15">
        <f>E191-H191</f>
        <v>3060200</v>
      </c>
      <c r="J191" s="7" t="s">
        <v>54</v>
      </c>
      <c r="L191" s="7" t="s">
        <v>54</v>
      </c>
    </row>
    <row r="192" spans="1:12" ht="12.75">
      <c r="A192" s="6" t="s">
        <v>201</v>
      </c>
      <c r="B192" s="15"/>
      <c r="D192" s="14" t="s">
        <v>87</v>
      </c>
      <c r="E192" s="15"/>
      <c r="F192" s="33">
        <v>0.00847</v>
      </c>
      <c r="G192" s="15">
        <f aca="true" t="shared" si="20" ref="G192:G211">ROUND(+$E$191*F192,0)</f>
        <v>27016</v>
      </c>
      <c r="J192" s="7">
        <f t="shared" si="19"/>
        <v>24314</v>
      </c>
      <c r="K192" s="12">
        <v>238039</v>
      </c>
      <c r="L192" s="7">
        <f aca="true" t="shared" si="21" ref="L192:L214">+J192-K192</f>
        <v>-213725</v>
      </c>
    </row>
    <row r="193" spans="1:12" ht="12.75">
      <c r="A193" s="6" t="s">
        <v>202</v>
      </c>
      <c r="B193" s="15"/>
      <c r="D193" s="14" t="s">
        <v>87</v>
      </c>
      <c r="E193" s="15"/>
      <c r="F193" s="33">
        <v>0.000247</v>
      </c>
      <c r="G193" s="15">
        <f t="shared" si="20"/>
        <v>788</v>
      </c>
      <c r="J193" s="7">
        <f t="shared" si="19"/>
        <v>709</v>
      </c>
      <c r="K193" s="12">
        <v>6942</v>
      </c>
      <c r="L193" s="7">
        <f t="shared" si="21"/>
        <v>-6233</v>
      </c>
    </row>
    <row r="194" spans="1:12" ht="12.75">
      <c r="A194" s="6" t="s">
        <v>203</v>
      </c>
      <c r="B194" s="15"/>
      <c r="D194" s="14" t="s">
        <v>87</v>
      </c>
      <c r="E194" s="15"/>
      <c r="F194" s="33">
        <v>0.000247</v>
      </c>
      <c r="G194" s="15">
        <f t="shared" si="20"/>
        <v>788</v>
      </c>
      <c r="J194" s="7">
        <f t="shared" si="19"/>
        <v>709</v>
      </c>
      <c r="K194" s="12">
        <v>6942</v>
      </c>
      <c r="L194" s="7">
        <f t="shared" si="21"/>
        <v>-6233</v>
      </c>
    </row>
    <row r="195" spans="1:12" ht="12.75">
      <c r="A195" s="6" t="s">
        <v>204</v>
      </c>
      <c r="B195" s="15"/>
      <c r="D195" s="14" t="s">
        <v>87</v>
      </c>
      <c r="E195" s="15"/>
      <c r="F195" s="33">
        <v>0.000604</v>
      </c>
      <c r="G195" s="15">
        <f t="shared" si="20"/>
        <v>1927</v>
      </c>
      <c r="J195" s="7">
        <f t="shared" si="19"/>
        <v>1734</v>
      </c>
      <c r="K195" s="12">
        <v>16975</v>
      </c>
      <c r="L195" s="7">
        <f t="shared" si="21"/>
        <v>-15241</v>
      </c>
    </row>
    <row r="196" spans="1:12" ht="12.75">
      <c r="A196" s="6" t="s">
        <v>205</v>
      </c>
      <c r="B196" s="15"/>
      <c r="D196" s="14" t="s">
        <v>87</v>
      </c>
      <c r="E196" s="15"/>
      <c r="F196" s="33">
        <v>0.002499</v>
      </c>
      <c r="G196" s="15">
        <f t="shared" si="20"/>
        <v>7971</v>
      </c>
      <c r="J196" s="7">
        <f t="shared" si="19"/>
        <v>7174</v>
      </c>
      <c r="K196" s="12">
        <v>70231</v>
      </c>
      <c r="L196" s="7">
        <f t="shared" si="21"/>
        <v>-63057</v>
      </c>
    </row>
    <row r="197" spans="1:12" ht="12.75">
      <c r="A197" s="6" t="s">
        <v>206</v>
      </c>
      <c r="B197" s="15"/>
      <c r="D197" s="14" t="s">
        <v>87</v>
      </c>
      <c r="E197" s="15"/>
      <c r="F197" s="33">
        <v>0.001949</v>
      </c>
      <c r="G197" s="15">
        <f t="shared" si="20"/>
        <v>6217</v>
      </c>
      <c r="J197" s="7">
        <f t="shared" si="19"/>
        <v>5595</v>
      </c>
      <c r="K197" s="12">
        <v>54774</v>
      </c>
      <c r="L197" s="7">
        <f t="shared" si="21"/>
        <v>-49179</v>
      </c>
    </row>
    <row r="198" spans="1:12" ht="12.75">
      <c r="A198" s="6" t="s">
        <v>207</v>
      </c>
      <c r="B198" s="15"/>
      <c r="D198" s="14" t="s">
        <v>87</v>
      </c>
      <c r="E198" s="15"/>
      <c r="F198" s="33">
        <v>0.000892</v>
      </c>
      <c r="G198" s="15">
        <f t="shared" si="20"/>
        <v>2845</v>
      </c>
      <c r="J198" s="7">
        <f t="shared" si="19"/>
        <v>2561</v>
      </c>
      <c r="K198" s="12">
        <v>25069</v>
      </c>
      <c r="L198" s="7">
        <f t="shared" si="21"/>
        <v>-22508</v>
      </c>
    </row>
    <row r="199" spans="1:12" ht="12.75">
      <c r="A199" s="6" t="s">
        <v>208</v>
      </c>
      <c r="B199" s="15"/>
      <c r="D199" s="14" t="s">
        <v>87</v>
      </c>
      <c r="E199" s="15"/>
      <c r="F199" s="33">
        <v>0.000686</v>
      </c>
      <c r="G199" s="15">
        <f t="shared" si="20"/>
        <v>2188</v>
      </c>
      <c r="J199" s="7">
        <f t="shared" si="19"/>
        <v>1969</v>
      </c>
      <c r="K199" s="12">
        <v>19279</v>
      </c>
      <c r="L199" s="7">
        <f t="shared" si="21"/>
        <v>-17310</v>
      </c>
    </row>
    <row r="200" spans="1:12" ht="12.75">
      <c r="A200" s="6" t="s">
        <v>209</v>
      </c>
      <c r="B200" s="15"/>
      <c r="D200" s="14" t="s">
        <v>87</v>
      </c>
      <c r="E200" s="15"/>
      <c r="F200" s="33">
        <v>0.000412</v>
      </c>
      <c r="G200" s="15">
        <f t="shared" si="20"/>
        <v>1314</v>
      </c>
      <c r="J200" s="7">
        <f t="shared" si="19"/>
        <v>1183</v>
      </c>
      <c r="K200" s="12">
        <v>11579</v>
      </c>
      <c r="L200" s="7">
        <f t="shared" si="21"/>
        <v>-10396</v>
      </c>
    </row>
    <row r="201" spans="1:12" ht="12.75">
      <c r="A201" s="6" t="s">
        <v>210</v>
      </c>
      <c r="B201" s="15"/>
      <c r="D201" s="14" t="s">
        <v>87</v>
      </c>
      <c r="E201" s="15"/>
      <c r="F201" s="33">
        <v>0.002787</v>
      </c>
      <c r="G201" s="15">
        <f t="shared" si="20"/>
        <v>8889</v>
      </c>
      <c r="J201" s="7">
        <f t="shared" si="19"/>
        <v>8000</v>
      </c>
      <c r="K201" s="12">
        <v>78325</v>
      </c>
      <c r="L201" s="7">
        <f t="shared" si="21"/>
        <v>-70325</v>
      </c>
    </row>
    <row r="202" spans="1:12" ht="12.75">
      <c r="A202" s="6" t="s">
        <v>211</v>
      </c>
      <c r="B202" s="15"/>
      <c r="D202" s="14" t="s">
        <v>87</v>
      </c>
      <c r="E202" s="15"/>
      <c r="F202" s="33">
        <v>0.000796</v>
      </c>
      <c r="G202" s="15">
        <f t="shared" si="20"/>
        <v>2539</v>
      </c>
      <c r="J202" s="7">
        <f t="shared" si="19"/>
        <v>2285</v>
      </c>
      <c r="K202" s="12">
        <v>22371</v>
      </c>
      <c r="L202" s="7">
        <f t="shared" si="21"/>
        <v>-20086</v>
      </c>
    </row>
    <row r="203" spans="1:12" ht="12.75">
      <c r="A203" s="6" t="s">
        <v>212</v>
      </c>
      <c r="B203" s="15"/>
      <c r="D203" s="14" t="s">
        <v>87</v>
      </c>
      <c r="E203" s="15"/>
      <c r="F203" s="33">
        <v>0.002169</v>
      </c>
      <c r="G203" s="15">
        <f t="shared" si="20"/>
        <v>6918</v>
      </c>
      <c r="J203" s="7">
        <f t="shared" si="19"/>
        <v>6226</v>
      </c>
      <c r="K203" s="12">
        <v>60957</v>
      </c>
      <c r="L203" s="7">
        <f t="shared" si="21"/>
        <v>-54731</v>
      </c>
    </row>
    <row r="204" spans="1:12" ht="12.75">
      <c r="A204" s="6" t="s">
        <v>244</v>
      </c>
      <c r="B204" s="15"/>
      <c r="D204" s="14" t="s">
        <v>87</v>
      </c>
      <c r="E204" s="15"/>
      <c r="F204" s="33">
        <v>0.000823</v>
      </c>
      <c r="G204" s="15">
        <f t="shared" si="20"/>
        <v>2625</v>
      </c>
      <c r="J204" s="7">
        <f t="shared" si="19"/>
        <v>2363</v>
      </c>
      <c r="K204" s="12">
        <v>23129</v>
      </c>
      <c r="L204" s="7">
        <f t="shared" si="21"/>
        <v>-20766</v>
      </c>
    </row>
    <row r="205" spans="1:12" ht="12.75">
      <c r="A205" s="6" t="s">
        <v>213</v>
      </c>
      <c r="B205" s="15"/>
      <c r="D205" s="14" t="s">
        <v>87</v>
      </c>
      <c r="E205" s="15"/>
      <c r="F205" s="33">
        <v>0.001317</v>
      </c>
      <c r="G205" s="15">
        <f t="shared" si="20"/>
        <v>4201</v>
      </c>
      <c r="J205" s="7">
        <f t="shared" si="19"/>
        <v>3781</v>
      </c>
      <c r="K205" s="12">
        <v>37013</v>
      </c>
      <c r="L205" s="7">
        <f t="shared" si="21"/>
        <v>-33232</v>
      </c>
    </row>
    <row r="206" spans="1:12" ht="12.75">
      <c r="A206" s="6" t="s">
        <v>214</v>
      </c>
      <c r="B206" s="15"/>
      <c r="D206" s="14" t="s">
        <v>87</v>
      </c>
      <c r="E206" s="15"/>
      <c r="F206" s="33">
        <v>0.002782</v>
      </c>
      <c r="G206" s="15">
        <f t="shared" si="20"/>
        <v>8874</v>
      </c>
      <c r="J206" s="7">
        <f t="shared" si="19"/>
        <v>7987</v>
      </c>
      <c r="K206" s="12">
        <v>78185</v>
      </c>
      <c r="L206" s="7">
        <f t="shared" si="21"/>
        <v>-70198</v>
      </c>
    </row>
    <row r="207" spans="1:12" ht="12.75">
      <c r="A207" s="6" t="s">
        <v>215</v>
      </c>
      <c r="B207" s="15"/>
      <c r="D207" s="14" t="s">
        <v>87</v>
      </c>
      <c r="E207" s="15"/>
      <c r="F207" s="33">
        <v>0.001744</v>
      </c>
      <c r="G207" s="15">
        <f t="shared" si="20"/>
        <v>5563</v>
      </c>
      <c r="J207" s="7">
        <f t="shared" si="19"/>
        <v>5007</v>
      </c>
      <c r="K207" s="12">
        <v>49013</v>
      </c>
      <c r="L207" s="7">
        <f t="shared" si="21"/>
        <v>-44006</v>
      </c>
    </row>
    <row r="208" spans="1:12" ht="12.75">
      <c r="A208" s="6" t="s">
        <v>216</v>
      </c>
      <c r="B208" s="15"/>
      <c r="D208" s="14" t="s">
        <v>87</v>
      </c>
      <c r="E208" s="15"/>
      <c r="F208" s="33">
        <v>0.000247</v>
      </c>
      <c r="G208" s="15">
        <f t="shared" si="20"/>
        <v>788</v>
      </c>
      <c r="J208" s="7">
        <f t="shared" si="19"/>
        <v>709</v>
      </c>
      <c r="K208" s="12">
        <v>6942</v>
      </c>
      <c r="L208" s="7">
        <f t="shared" si="21"/>
        <v>-6233</v>
      </c>
    </row>
    <row r="209" spans="1:12" ht="12.75">
      <c r="A209" s="6" t="s">
        <v>217</v>
      </c>
      <c r="B209" s="15"/>
      <c r="D209" s="14" t="s">
        <v>87</v>
      </c>
      <c r="E209" s="15"/>
      <c r="F209" s="33">
        <v>0.001057</v>
      </c>
      <c r="G209" s="15">
        <f t="shared" si="20"/>
        <v>3371</v>
      </c>
      <c r="J209" s="7">
        <f t="shared" si="19"/>
        <v>3034</v>
      </c>
      <c r="K209" s="12">
        <v>29706</v>
      </c>
      <c r="L209" s="7">
        <f t="shared" si="21"/>
        <v>-26672</v>
      </c>
    </row>
    <row r="210" spans="1:12" ht="12.75">
      <c r="A210" s="6" t="s">
        <v>218</v>
      </c>
      <c r="B210" s="15"/>
      <c r="D210" s="14" t="s">
        <v>87</v>
      </c>
      <c r="E210" s="15"/>
      <c r="F210" s="33">
        <v>0.001867</v>
      </c>
      <c r="G210" s="15">
        <f t="shared" si="20"/>
        <v>5955</v>
      </c>
      <c r="J210" s="7">
        <f t="shared" si="19"/>
        <v>5360</v>
      </c>
      <c r="K210" s="12">
        <v>52470</v>
      </c>
      <c r="L210" s="7">
        <f t="shared" si="21"/>
        <v>-47110</v>
      </c>
    </row>
    <row r="211" spans="1:12" ht="12.75">
      <c r="A211" s="6" t="s">
        <v>219</v>
      </c>
      <c r="B211" s="15"/>
      <c r="D211" s="14" t="s">
        <v>87</v>
      </c>
      <c r="E211" s="15"/>
      <c r="F211" s="33">
        <v>0.008978</v>
      </c>
      <c r="G211" s="15">
        <f t="shared" si="20"/>
        <v>28636</v>
      </c>
      <c r="J211" s="7">
        <f t="shared" si="19"/>
        <v>25772</v>
      </c>
      <c r="K211" s="12">
        <v>252315</v>
      </c>
      <c r="L211" s="7">
        <f t="shared" si="21"/>
        <v>-226543</v>
      </c>
    </row>
    <row r="212" spans="1:12" ht="12.75">
      <c r="A212" s="6"/>
      <c r="B212" s="15"/>
      <c r="D212" s="14"/>
      <c r="E212" s="15"/>
      <c r="F212" s="33"/>
      <c r="G212" s="15"/>
      <c r="J212" s="7" t="s">
        <v>54</v>
      </c>
      <c r="L212" s="7" t="s">
        <v>54</v>
      </c>
    </row>
    <row r="213" spans="1:12" ht="12.75">
      <c r="A213" s="6" t="s">
        <v>52</v>
      </c>
      <c r="B213" s="15"/>
      <c r="D213" s="14"/>
      <c r="E213" s="15">
        <f>States!C61</f>
        <v>366155</v>
      </c>
      <c r="F213" s="33"/>
      <c r="G213" s="15"/>
      <c r="H213" s="17">
        <f>G214</f>
        <v>5346</v>
      </c>
      <c r="I213" s="15">
        <f>E213-H213</f>
        <v>360809</v>
      </c>
      <c r="J213" s="7" t="s">
        <v>54</v>
      </c>
      <c r="L213" s="7" t="s">
        <v>54</v>
      </c>
    </row>
    <row r="214" spans="1:12" ht="12.75">
      <c r="A214" s="6" t="s">
        <v>232</v>
      </c>
      <c r="B214" s="15"/>
      <c r="D214" s="14" t="s">
        <v>87</v>
      </c>
      <c r="E214" s="15"/>
      <c r="F214" s="33">
        <v>0.0146</v>
      </c>
      <c r="G214" s="15">
        <f>ROUND(+$E$213*F214,0)</f>
        <v>5346</v>
      </c>
      <c r="J214" s="7">
        <f t="shared" si="19"/>
        <v>4811</v>
      </c>
      <c r="K214" s="12">
        <v>59884</v>
      </c>
      <c r="L214" s="7">
        <f t="shared" si="21"/>
        <v>-55073</v>
      </c>
    </row>
    <row r="215" spans="1:7" ht="12.75">
      <c r="A215" s="6"/>
      <c r="B215" s="15"/>
      <c r="D215" s="14"/>
      <c r="E215" s="15"/>
      <c r="F215" s="33"/>
      <c r="G215" s="15"/>
    </row>
    <row r="467" ht="12.75">
      <c r="H467" s="8"/>
    </row>
    <row r="469" ht="12.75">
      <c r="E469" s="8"/>
    </row>
    <row r="472" ht="12.75">
      <c r="E472" s="8"/>
    </row>
    <row r="473" ht="12.75">
      <c r="E473" s="8"/>
    </row>
    <row r="474" ht="12.75">
      <c r="E474" s="8"/>
    </row>
    <row r="475" ht="12.75">
      <c r="E475" s="8"/>
    </row>
    <row r="476" ht="12.75">
      <c r="E476" s="8"/>
    </row>
    <row r="477" ht="12.75">
      <c r="E477" s="8"/>
    </row>
    <row r="478" ht="12.75">
      <c r="E478" s="8"/>
    </row>
    <row r="479" ht="12.75">
      <c r="E479" s="8"/>
    </row>
    <row r="480" ht="12.75">
      <c r="E480" s="8"/>
    </row>
    <row r="481" ht="12.75">
      <c r="E481" s="8"/>
    </row>
    <row r="482" ht="12.75">
      <c r="E482" s="8"/>
    </row>
    <row r="483" ht="12.75">
      <c r="E483" s="8"/>
    </row>
    <row r="484" ht="12.75">
      <c r="E484" s="8"/>
    </row>
    <row r="485" ht="12.75">
      <c r="E485" s="8"/>
    </row>
    <row r="486" ht="12.75">
      <c r="E486" s="8"/>
    </row>
    <row r="487" ht="12.75">
      <c r="E487" s="8"/>
    </row>
    <row r="488" ht="12.75">
      <c r="E488" s="8"/>
    </row>
    <row r="489" ht="12.75">
      <c r="E489" s="8"/>
    </row>
    <row r="490" ht="12.75">
      <c r="E490" s="8"/>
    </row>
    <row r="491" ht="12.75">
      <c r="E491" s="8"/>
    </row>
    <row r="492" ht="12.75">
      <c r="E492" s="8"/>
    </row>
    <row r="493" ht="12.75">
      <c r="E493" s="8"/>
    </row>
    <row r="494" ht="12.75">
      <c r="E494" s="8"/>
    </row>
    <row r="495" ht="12.75">
      <c r="E495" s="8"/>
    </row>
    <row r="496" ht="12.75">
      <c r="E496" s="8"/>
    </row>
    <row r="497" ht="12.75">
      <c r="E497" s="8"/>
    </row>
    <row r="498" ht="12.75">
      <c r="E498" s="8"/>
    </row>
    <row r="499" ht="12.75">
      <c r="E499" s="8"/>
    </row>
    <row r="500" ht="12.75">
      <c r="E500" s="8"/>
    </row>
    <row r="501" ht="12.75">
      <c r="E501" s="8"/>
    </row>
    <row r="502" ht="12.75">
      <c r="E502" s="8"/>
    </row>
    <row r="503" ht="12.75">
      <c r="E503" s="8"/>
    </row>
    <row r="504" ht="12.75">
      <c r="E504" s="8"/>
    </row>
    <row r="505" ht="12.75">
      <c r="E505" s="8"/>
    </row>
    <row r="506" ht="12.75">
      <c r="E506" s="8"/>
    </row>
    <row r="507" ht="12.75">
      <c r="E507" s="8"/>
    </row>
    <row r="508" ht="12.75">
      <c r="E508" s="8"/>
    </row>
    <row r="509" ht="12.75">
      <c r="E509" s="8"/>
    </row>
    <row r="510" ht="12.75">
      <c r="E510" s="8"/>
    </row>
    <row r="511" ht="12.75">
      <c r="E511" s="8"/>
    </row>
    <row r="512" ht="12.75">
      <c r="E512" s="8"/>
    </row>
    <row r="513" ht="12.75">
      <c r="E513" s="8"/>
    </row>
    <row r="514" ht="12.75">
      <c r="E514" s="8"/>
    </row>
    <row r="515" ht="12.75">
      <c r="E515" s="8"/>
    </row>
    <row r="516" ht="12.75">
      <c r="E516" s="8"/>
    </row>
    <row r="517" ht="12.75">
      <c r="E517" s="8"/>
    </row>
    <row r="518" ht="12.75">
      <c r="E518" s="8"/>
    </row>
    <row r="519" ht="12.75">
      <c r="E519" s="8"/>
    </row>
    <row r="520" ht="12.75">
      <c r="E520" s="8"/>
    </row>
    <row r="521" ht="12.75">
      <c r="E521" s="8"/>
    </row>
    <row r="522" ht="12.75">
      <c r="E522" s="8"/>
    </row>
    <row r="523" ht="12.75">
      <c r="E523" s="8"/>
    </row>
    <row r="524" spans="5:8" ht="12.75">
      <c r="E524" s="8"/>
      <c r="G524" s="15"/>
      <c r="H524" s="15"/>
    </row>
    <row r="526" spans="5:8" ht="12.75">
      <c r="E526" s="15"/>
      <c r="H526" s="15"/>
    </row>
    <row r="528" ht="12.75">
      <c r="H528" s="15"/>
    </row>
    <row r="529" spans="5:8" ht="12.75">
      <c r="E529" s="15"/>
      <c r="H529" s="15"/>
    </row>
    <row r="530" spans="5:8" ht="12.75">
      <c r="E530" s="15"/>
      <c r="H530" s="15"/>
    </row>
    <row r="531" spans="5:8" ht="12.75">
      <c r="E531" s="15"/>
      <c r="H531" s="15"/>
    </row>
    <row r="532" spans="5:8" ht="12.75">
      <c r="E532" s="15"/>
      <c r="H532" s="15"/>
    </row>
    <row r="533" spans="5:8" ht="12.75">
      <c r="E533" s="15"/>
      <c r="H533" s="15"/>
    </row>
    <row r="534" spans="5:8" ht="12.75">
      <c r="E534" s="15"/>
      <c r="H534" s="15"/>
    </row>
    <row r="535" spans="5:8" ht="12.75">
      <c r="E535" s="15"/>
      <c r="H535" s="15"/>
    </row>
  </sheetData>
  <sheetProtection password="E68A" sheet="1" objects="1" scenarios="1"/>
  <mergeCells count="2">
    <mergeCell ref="C3:E3"/>
    <mergeCell ref="C2:E2"/>
  </mergeCells>
  <printOptions/>
  <pageMargins left="0.75" right="0.75" top="0.75" bottom="0.5" header="0.5" footer="0.5"/>
  <pageSetup fitToHeight="5" fitToWidth="1" horizontalDpi="300" verticalDpi="300" orientation="landscape" scale="70" r:id="rId1"/>
  <rowBreaks count="3" manualBreakCount="3">
    <brk id="80" max="255" man="1"/>
    <brk id="123" max="255" man="1"/>
    <brk id="1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 DHHS</dc:creator>
  <cp:keywords/>
  <dc:description/>
  <cp:lastModifiedBy>ACF</cp:lastModifiedBy>
  <cp:lastPrinted>2003-01-24T19:53:55Z</cp:lastPrinted>
  <dcterms:created xsi:type="dcterms:W3CDTF">1999-09-24T20:32:34Z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